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44" activeTab="10"/>
  </bookViews>
  <sheets>
    <sheet name="Olie" sheetId="1" r:id="rId1"/>
    <sheet name="PAK" sheetId="2" r:id="rId2"/>
    <sheet name="EOX" sheetId="3" r:id="rId3"/>
    <sheet name="zink" sheetId="4" r:id="rId4"/>
    <sheet name="nikkel" sheetId="5" r:id="rId5"/>
    <sheet name="lood" sheetId="6" r:id="rId6"/>
    <sheet name="kwik" sheetId="7" r:id="rId7"/>
    <sheet name="koper" sheetId="8" r:id="rId8"/>
    <sheet name="chroom" sheetId="9" r:id="rId9"/>
    <sheet name="cadmium" sheetId="10" r:id="rId10"/>
    <sheet name="invoer" sheetId="11" r:id="rId11"/>
    <sheet name="arseen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10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12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2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3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4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5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6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7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8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comments9.xml><?xml version="1.0" encoding="utf-8"?>
<comments xmlns="http://schemas.openxmlformats.org/spreadsheetml/2006/main">
  <authors>
    <author>martl</author>
  </authors>
  <commentList>
    <comment ref="A13" authorId="0">
      <text>
        <r>
          <rPr>
            <b/>
            <sz val="8"/>
            <rFont val="Tahoma"/>
            <family val="2"/>
          </rPr>
          <t>martl:</t>
        </r>
        <r>
          <rPr>
            <sz val="8"/>
            <rFont val="Tahoma"/>
            <family val="2"/>
          </rPr>
          <t xml:space="preserve">
voor alle stdev()&lt;0,0000025 wordt 0 ingevuld! Dit tgv rare dingen in excel!!!</t>
        </r>
      </text>
    </comment>
  </commentList>
</comments>
</file>

<file path=xl/sharedStrings.xml><?xml version="1.0" encoding="utf-8"?>
<sst xmlns="http://schemas.openxmlformats.org/spreadsheetml/2006/main" count="517" uniqueCount="85">
  <si>
    <t>arseen</t>
  </si>
  <si>
    <t>S(y)</t>
  </si>
  <si>
    <t>log(T)</t>
  </si>
  <si>
    <t>grepen</t>
  </si>
  <si>
    <t>2*50</t>
  </si>
  <si>
    <t>cadmium</t>
  </si>
  <si>
    <t>chroom</t>
  </si>
  <si>
    <t>koper</t>
  </si>
  <si>
    <t>kwik</t>
  </si>
  <si>
    <t>lood</t>
  </si>
  <si>
    <t>nikkel</t>
  </si>
  <si>
    <t>zink</t>
  </si>
  <si>
    <t>EOX</t>
  </si>
  <si>
    <t>PAK(10)</t>
  </si>
  <si>
    <t>m.o.</t>
  </si>
  <si>
    <t>Bsb-1</t>
  </si>
  <si>
    <t>Toetswaarde</t>
  </si>
  <si>
    <t>Toetswaarde (mg/kg d.s.):</t>
  </si>
  <si>
    <t>Datum onderzoek:</t>
  </si>
  <si>
    <t>Arseen, mg/kg d.s.</t>
  </si>
  <si>
    <t>Cadmium, mg/kg d.s.</t>
  </si>
  <si>
    <t>Chroom, mg/kg d.s.</t>
  </si>
  <si>
    <t>Koper, mg/kg d.s.</t>
  </si>
  <si>
    <t>Kwik, mg/kg d.s.</t>
  </si>
  <si>
    <t>Lood, mg/kg d.s.</t>
  </si>
  <si>
    <t>Nikkel, mg/kg d.s.</t>
  </si>
  <si>
    <t>Zink, mg/kg d.s.</t>
  </si>
  <si>
    <t>EOX, mg/kg d.s.</t>
  </si>
  <si>
    <t>PAK(10), mg/kg d.s.</t>
  </si>
  <si>
    <t>Minerale olie, mg/kg d.s.</t>
  </si>
  <si>
    <t>1*50</t>
  </si>
  <si>
    <t>Lutum, % d.s. (m/m)</t>
  </si>
  <si>
    <t>Organische stof, % d.s. (m/m)</t>
  </si>
  <si>
    <t>(voor L en/of H &lt; 2: L,H=2)</t>
  </si>
  <si>
    <t>detectielimiet</t>
  </si>
  <si>
    <t>log(X)</t>
  </si>
  <si>
    <t>034945D</t>
  </si>
  <si>
    <t>04121D4</t>
  </si>
  <si>
    <t>Projectcode:</t>
  </si>
  <si>
    <t>03.B306.Cd</t>
  </si>
  <si>
    <t>Steekproefopzet Gebruikersprotocol schone grond en bouwstoffen</t>
  </si>
  <si>
    <t>Partij X</t>
  </si>
  <si>
    <t>Deelpartijnummer:</t>
  </si>
  <si>
    <t>Analysecertificaatnummer:</t>
  </si>
  <si>
    <t>X-1</t>
  </si>
  <si>
    <t>X-2</t>
  </si>
  <si>
    <t>X-3</t>
  </si>
  <si>
    <t>X-4</t>
  </si>
  <si>
    <t>X-5</t>
  </si>
  <si>
    <t>X-6</t>
  </si>
  <si>
    <t>X-7</t>
  </si>
  <si>
    <t>X-8</t>
  </si>
  <si>
    <t>X-9</t>
  </si>
  <si>
    <t>X-10</t>
  </si>
  <si>
    <t>X10</t>
  </si>
  <si>
    <t>log(T)gem(5 of 10)</t>
  </si>
  <si>
    <t>Yn=log(X)gem(5 of 10)</t>
  </si>
  <si>
    <t>Yn+2,74*S(y)</t>
  </si>
  <si>
    <t>Yn+2,07*S(y)</t>
  </si>
  <si>
    <t>B=Betrouwbaarheid (90/90)</t>
  </si>
  <si>
    <t>Yn+B*S(y)&lt;=log(T)?</t>
  </si>
  <si>
    <t>X1 t/m X5</t>
  </si>
  <si>
    <t>X1 t/m X10</t>
  </si>
  <si>
    <t>Yn+2,74*S(y)&lt;=log(T)?</t>
  </si>
  <si>
    <t>Yn+2,07*S(y)&lt;=log(T)?</t>
  </si>
  <si>
    <t>Aantal deelpartijen</t>
  </si>
  <si>
    <t>Voldoet:</t>
  </si>
  <si>
    <t>Aantal deelpartijen (5 of 10):</t>
  </si>
  <si>
    <t>gem. X-1-{A/B}</t>
  </si>
  <si>
    <t>gem. X-2-{A/B}</t>
  </si>
  <si>
    <t>gem. X-3-{A/B}</t>
  </si>
  <si>
    <t>gem. X-4-{A/B}</t>
  </si>
  <si>
    <t>gem. X-5-{A/B}</t>
  </si>
  <si>
    <t>gem. X-6-{A/B}</t>
  </si>
  <si>
    <t>gem. X-7-{A/B}</t>
  </si>
  <si>
    <t>gem. X-8-{A/B}</t>
  </si>
  <si>
    <t>gem. X-9-{A/B}</t>
  </si>
  <si>
    <t>gem. X-10-{A/B}</t>
  </si>
  <si>
    <t>In te voeren resultaat van:</t>
  </si>
  <si>
    <t>Opsplitsen mogelijk?</t>
  </si>
  <si>
    <t>1,5 *Toetswaarde (mg/kg d.s.):</t>
  </si>
  <si>
    <t>Xi&lt;1,5*T voor 1 dp en Xi&lt;T voor overige 4 dp</t>
  </si>
  <si>
    <t>Xi&lt;1,5*T voor 2 dp en Xi&lt;T voor overige 8 dp</t>
  </si>
  <si>
    <t>Aanvullende eis:</t>
  </si>
  <si>
    <t>Overschrijding aanvullende eis?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</si>
</sst>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;;;"/>
    <numFmt numFmtId="180" formatCode="0.0000"/>
  </numFmts>
  <fonts count="4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center"/>
    </xf>
    <xf numFmtId="179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14" fontId="5" fillId="33" borderId="12" xfId="0" applyNumberFormat="1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80" fontId="0" fillId="0" borderId="0" xfId="0" applyNumberFormat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58"/>
          <c:w val="0.795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Olie!$A$1</c:f>
              <c:strCache>
                <c:ptCount val="1"/>
                <c:pt idx="0">
                  <c:v>Minerale olie,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Olie!$B$6:$L$6</c:f>
              <c:numCache/>
            </c:numRef>
          </c:val>
          <c:smooth val="0"/>
        </c:ser>
        <c:ser>
          <c:idx val="1"/>
          <c:order val="1"/>
          <c:tx>
            <c:v>Toetswaarde minerale olie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Olie!$B$8:$L$8</c:f>
              <c:numCache/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 val="autoZero"/>
        <c:auto val="1"/>
        <c:lblOffset val="560"/>
        <c:tickLblSkip val="1"/>
        <c:noMultiLvlLbl val="0"/>
      </c:catAx>
      <c:valAx>
        <c:axId val="513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olie-concentratie mg/kg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25"/>
          <c:y val="0"/>
          <c:w val="0.3932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58"/>
          <c:w val="0.794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cadmium!$A$1</c:f>
              <c:strCache>
                <c:ptCount val="1"/>
                <c:pt idx="0">
                  <c:v>Cadmium,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cadmium!$B$6:$L$6</c:f>
              <c:numCache/>
            </c:numRef>
          </c:val>
          <c:smooth val="0"/>
        </c:ser>
        <c:ser>
          <c:idx val="1"/>
          <c:order val="1"/>
          <c:tx>
            <c:v>Toetswaarde cadmium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cadmium!$B$8:$L$8</c:f>
              <c:numCache/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 val="autoZero"/>
        <c:auto val="1"/>
        <c:lblOffset val="560"/>
        <c:tickLblSkip val="1"/>
        <c:noMultiLvlLbl val="0"/>
      </c:catAx>
      <c:valAx>
        <c:axId val="228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cadmiumconcentratie mg/kg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"/>
          <c:w val="0.310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58"/>
          <c:w val="0.796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arseen!$A$1</c:f>
              <c:strCache>
                <c:ptCount val="1"/>
                <c:pt idx="0">
                  <c:v>Arseen,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arseen!$B$6:$L$6</c:f>
              <c:numCache/>
            </c:numRef>
          </c:val>
          <c:smooth val="0"/>
        </c:ser>
        <c:ser>
          <c:idx val="1"/>
          <c:order val="1"/>
          <c:tx>
            <c:v>Toetswaarde arseen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arseen!$B$8:$L$8</c:f>
              <c:numCache/>
            </c:numRef>
          </c:val>
          <c:smooth val="0"/>
        </c:ser>
        <c:marker val="1"/>
        <c:axId val="4478812"/>
        <c:axId val="40309309"/>
      </c:lineChart>
      <c:catAx>
        <c:axId val="447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 val="autoZero"/>
        <c:auto val="1"/>
        <c:lblOffset val="560"/>
        <c:tickLblSkip val="1"/>
        <c:noMultiLvlLbl val="0"/>
      </c:catAx>
      <c:valAx>
        <c:axId val="4030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arseenconcentratie mg/kg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"/>
          <c:y val="0"/>
          <c:w val="0.290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58"/>
          <c:w val="0.793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PAK!$A$1</c:f>
              <c:strCache>
                <c:ptCount val="1"/>
                <c:pt idx="0">
                  <c:v>PAK(10),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PAK!$B$6:$L$6</c:f>
              <c:numCache/>
            </c:numRef>
          </c:val>
          <c:smooth val="0"/>
        </c:ser>
        <c:ser>
          <c:idx val="1"/>
          <c:order val="1"/>
          <c:tx>
            <c:v>Toetswaarde PAK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PAK!$B$8:$L$8</c:f>
              <c:numCache/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 val="autoZero"/>
        <c:auto val="1"/>
        <c:lblOffset val="560"/>
        <c:tickLblSkip val="1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PAK-concentratie mg/kg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"/>
          <c:w val="0.29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158"/>
          <c:w val="0.790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EOX!$A$1</c:f>
              <c:strCache>
                <c:ptCount val="1"/>
                <c:pt idx="0">
                  <c:v>EOX,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EOX!$B$6:$L$6</c:f>
              <c:numCache/>
            </c:numRef>
          </c:val>
          <c:smooth val="0"/>
        </c:ser>
        <c:ser>
          <c:idx val="1"/>
          <c:order val="1"/>
          <c:tx>
            <c:v>Toetswaarde EOX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EOX!$B$8:$L$8</c:f>
              <c:numCache/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645"/>
        <c:crosses val="autoZero"/>
        <c:auto val="1"/>
        <c:lblOffset val="560"/>
        <c:tickLblSkip val="1"/>
        <c:noMultiLvlLbl val="0"/>
      </c:catAx>
      <c:valAx>
        <c:axId val="2142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EOX-concentratie mg/kg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"/>
          <c:y val="0"/>
          <c:w val="0.27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58"/>
          <c:w val="0.790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zink!$A$1</c:f>
              <c:strCache>
                <c:ptCount val="1"/>
                <c:pt idx="0">
                  <c:v>Zink,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zink!$B$6:$L$6</c:f>
              <c:numCache/>
            </c:numRef>
          </c:val>
          <c:smooth val="0"/>
        </c:ser>
        <c:ser>
          <c:idx val="1"/>
          <c:order val="1"/>
          <c:tx>
            <c:v>Toetswaarde zink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zink!$B$8:$L$8</c:f>
              <c:numCache/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 val="autoZero"/>
        <c:auto val="1"/>
        <c:lblOffset val="560"/>
        <c:tickLblSkip val="1"/>
        <c:noMultiLvlLbl val="0"/>
      </c:catAx>
      <c:valAx>
        <c:axId val="5775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zinkconcentratie mg/kg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"/>
          <c:w val="0.270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58"/>
          <c:w val="0.79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nikkel!$A$1</c:f>
              <c:strCache>
                <c:ptCount val="1"/>
                <c:pt idx="0">
                  <c:v>Nikkel,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nikkel!$B$6:$L$6</c:f>
              <c:numCache/>
            </c:numRef>
          </c:val>
          <c:smooth val="0"/>
        </c:ser>
        <c:ser>
          <c:idx val="1"/>
          <c:order val="1"/>
          <c:tx>
            <c:v>Toetswaarde nikkel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nikkel!$B$8:$L$8</c:f>
              <c:numCache/>
            </c:numRef>
          </c:val>
          <c:smooth val="0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autoZero"/>
        <c:auto val="1"/>
        <c:lblOffset val="560"/>
        <c:tickLblSkip val="1"/>
        <c:noMultiLvlLbl val="0"/>
      </c:catAx>
      <c:valAx>
        <c:axId val="4769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nikkelconcentratie mg/kg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75"/>
          <c:y val="0"/>
          <c:w val="0.28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158"/>
          <c:w val="0.790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lood!$A$1</c:f>
              <c:strCache>
                <c:ptCount val="1"/>
                <c:pt idx="0">
                  <c:v>Lood,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lood!$B$6:$L$6</c:f>
              <c:numCache/>
            </c:numRef>
          </c:val>
          <c:smooth val="0"/>
        </c:ser>
        <c:ser>
          <c:idx val="1"/>
          <c:order val="1"/>
          <c:tx>
            <c:v>Toetswaarde lood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lood!$B$8:$L$8</c:f>
              <c:numCache/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 val="autoZero"/>
        <c:auto val="1"/>
        <c:lblOffset val="560"/>
        <c:tickLblSkip val="1"/>
        <c:noMultiLvlLbl val="0"/>
      </c:catAx>
      <c:valAx>
        <c:axId val="3820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loodconcentratie mg/kg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"/>
          <c:w val="0.269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58"/>
          <c:w val="0.791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kwik!$A$1</c:f>
              <c:strCache>
                <c:ptCount val="1"/>
                <c:pt idx="0">
                  <c:v>Kwik,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kwik!$B$6:$L$6</c:f>
              <c:numCache/>
            </c:numRef>
          </c:val>
          <c:smooth val="0"/>
        </c:ser>
        <c:ser>
          <c:idx val="1"/>
          <c:order val="1"/>
          <c:tx>
            <c:v>Toetswaarde kwik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kwik!$B$8:$L$8</c:f>
              <c:numCache/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 val="autoZero"/>
        <c:auto val="1"/>
        <c:lblOffset val="560"/>
        <c:tickLblSkip val="1"/>
        <c:noMultiLvlLbl val="0"/>
      </c:cat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kwikconcentratie mg/kg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75"/>
          <c:y val="0"/>
          <c:w val="0.273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58"/>
          <c:w val="0.79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koper!$A$1</c:f>
              <c:strCache>
                <c:ptCount val="1"/>
                <c:pt idx="0">
                  <c:v>Koper,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koper!$B$6:$L$6</c:f>
              <c:numCache/>
            </c:numRef>
          </c:val>
          <c:smooth val="0"/>
        </c:ser>
        <c:ser>
          <c:idx val="1"/>
          <c:order val="1"/>
          <c:tx>
            <c:v>Toetswaarde koper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koper!$B$8:$L$8</c:f>
              <c:numCache/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 val="autoZero"/>
        <c:auto val="1"/>
        <c:lblOffset val="560"/>
        <c:tickLblSkip val="1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koperconcentratie mg/kg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"/>
          <c:w val="0.281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58"/>
          <c:w val="0.79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chroom!$A$1</c:f>
              <c:strCache>
                <c:ptCount val="1"/>
                <c:pt idx="0">
                  <c:v>Chroom, mg/kg d.s.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chroom!$B$6:$L$6</c:f>
              <c:numCache/>
            </c:numRef>
          </c:val>
          <c:smooth val="0"/>
        </c:ser>
        <c:ser>
          <c:idx val="1"/>
          <c:order val="1"/>
          <c:tx>
            <c:v>Toetswaarde chroom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chroom!$B$8:$L$8</c:f>
              <c:numCache/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waarneming-nummer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 val="autoZero"/>
        <c:auto val="1"/>
        <c:lblOffset val="560"/>
        <c:tickLblSkip val="1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chroomconcentratie mg/kg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"/>
          <c:w val="0.298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391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1"/>
        <xdr:cNvGraphicFramePr/>
      </xdr:nvGraphicFramePr>
      <xdr:xfrm>
        <a:off x="0" y="3562350"/>
        <a:ext cx="5162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219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010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010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086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0387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076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095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133350</xdr:colOff>
      <xdr:row>38</xdr:row>
      <xdr:rowOff>28575</xdr:rowOff>
    </xdr:to>
    <xdr:graphicFrame>
      <xdr:nvGraphicFramePr>
        <xdr:cNvPr id="1" name="Grafiek 2"/>
        <xdr:cNvGraphicFramePr/>
      </xdr:nvGraphicFramePr>
      <xdr:xfrm>
        <a:off x="0" y="3562350"/>
        <a:ext cx="5162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1.421875" style="0" customWidth="1"/>
    <col min="2" max="2" width="6.00390625" style="0" customWidth="1"/>
    <col min="3" max="3" width="6.140625" style="0" customWidth="1"/>
    <col min="4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invoer!A23</f>
        <v>Minerale olie,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s="37" customFormat="1" ht="12.75">
      <c r="A6" s="37" t="str">
        <f>A1</f>
        <v>Minerale olie, mg/kg d.s.</v>
      </c>
      <c r="B6" s="25">
        <f>invoer!C23</f>
        <v>14</v>
      </c>
      <c r="C6" s="25">
        <f>invoer!D23</f>
        <v>14</v>
      </c>
      <c r="D6" s="25">
        <f>invoer!E23</f>
        <v>14</v>
      </c>
      <c r="E6" s="25">
        <f>invoer!F23</f>
        <v>14</v>
      </c>
      <c r="F6" s="25">
        <f>invoer!G23</f>
        <v>14</v>
      </c>
      <c r="G6" s="25">
        <f>invoer!H23</f>
        <v>14</v>
      </c>
      <c r="H6" s="25">
        <f>invoer!I23</f>
        <v>14</v>
      </c>
      <c r="I6" s="25">
        <f>invoer!J23</f>
        <v>14</v>
      </c>
      <c r="J6" s="25">
        <f>invoer!K23</f>
        <v>14</v>
      </c>
      <c r="K6" s="25">
        <f>invoer!L23</f>
        <v>14</v>
      </c>
      <c r="L6" s="25"/>
    </row>
    <row r="7" spans="1:12" s="38" customFormat="1" ht="12.75">
      <c r="A7" s="38" t="s">
        <v>35</v>
      </c>
      <c r="B7" s="33">
        <f>IF(B6=0,"",LOG(B6))</f>
        <v>1.146128035678238</v>
      </c>
      <c r="C7" s="33">
        <f aca="true" t="shared" si="0" ref="C7:K7">IF(C6=0,"",LOG(C6))</f>
        <v>1.146128035678238</v>
      </c>
      <c r="D7" s="33">
        <f t="shared" si="0"/>
        <v>1.146128035678238</v>
      </c>
      <c r="E7" s="33">
        <f t="shared" si="0"/>
        <v>1.146128035678238</v>
      </c>
      <c r="F7" s="33">
        <f t="shared" si="0"/>
        <v>1.146128035678238</v>
      </c>
      <c r="G7" s="33">
        <f t="shared" si="0"/>
        <v>1.146128035678238</v>
      </c>
      <c r="H7" s="33">
        <f t="shared" si="0"/>
        <v>1.146128035678238</v>
      </c>
      <c r="I7" s="33">
        <f t="shared" si="0"/>
        <v>1.146128035678238</v>
      </c>
      <c r="J7" s="33">
        <f t="shared" si="0"/>
        <v>1.146128035678238</v>
      </c>
      <c r="K7" s="33">
        <f t="shared" si="0"/>
        <v>1.146128035678238</v>
      </c>
      <c r="L7" s="33"/>
    </row>
    <row r="8" spans="1:12" ht="12.75">
      <c r="A8" t="s">
        <v>16</v>
      </c>
      <c r="B8" s="2">
        <f>invoer!C37</f>
        <v>20</v>
      </c>
      <c r="C8" s="2">
        <f>invoer!D37</f>
        <v>20</v>
      </c>
      <c r="D8" s="2">
        <f>invoer!E37</f>
        <v>20</v>
      </c>
      <c r="E8" s="2">
        <f>invoer!F37</f>
        <v>20</v>
      </c>
      <c r="F8" s="2">
        <f>invoer!G37</f>
        <v>20</v>
      </c>
      <c r="G8" s="2">
        <f>invoer!H37</f>
        <v>20</v>
      </c>
      <c r="H8" s="2">
        <f>invoer!I37</f>
        <v>20</v>
      </c>
      <c r="I8" s="2">
        <f>invoer!J37</f>
        <v>20</v>
      </c>
      <c r="J8" s="2">
        <f>invoer!K37</f>
        <v>20</v>
      </c>
      <c r="K8" s="2">
        <f>invoer!L37</f>
        <v>20</v>
      </c>
      <c r="L8" s="2"/>
    </row>
    <row r="9" spans="1:12" ht="12.75">
      <c r="A9" t="s">
        <v>2</v>
      </c>
      <c r="B9" s="2">
        <f>IF(B8=0,"",LOG(B8))</f>
        <v>1.3010299956639813</v>
      </c>
      <c r="C9" s="2">
        <f aca="true" t="shared" si="1" ref="C9:K9">IF(C8=0,"",LOG(C8))</f>
        <v>1.3010299956639813</v>
      </c>
      <c r="D9" s="2">
        <f t="shared" si="1"/>
        <v>1.3010299956639813</v>
      </c>
      <c r="E9" s="2">
        <f t="shared" si="1"/>
        <v>1.3010299956639813</v>
      </c>
      <c r="F9" s="2">
        <f t="shared" si="1"/>
        <v>1.3010299956639813</v>
      </c>
      <c r="G9" s="2">
        <f t="shared" si="1"/>
        <v>1.3010299956639813</v>
      </c>
      <c r="H9" s="2">
        <f t="shared" si="1"/>
        <v>1.3010299956639813</v>
      </c>
      <c r="I9" s="2">
        <f t="shared" si="1"/>
        <v>1.3010299956639813</v>
      </c>
      <c r="J9" s="2">
        <f t="shared" si="1"/>
        <v>1.3010299956639813</v>
      </c>
      <c r="K9" s="2">
        <f t="shared" si="1"/>
        <v>1.3010299956639813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1.146128035678238</v>
      </c>
      <c r="G12" s="2"/>
      <c r="H12" s="2"/>
      <c r="I12" s="2"/>
      <c r="J12" s="2"/>
      <c r="K12" s="2">
        <f>SUM(B7:K7)/10</f>
        <v>1.146128035678238</v>
      </c>
      <c r="L12" s="2"/>
    </row>
    <row r="13" spans="1:12" s="31" customFormat="1" ht="12.75">
      <c r="A13" s="31" t="s">
        <v>1</v>
      </c>
      <c r="F13" s="2">
        <f>IF(STDEV($B$7:F7)&lt;0.000000025,0,STDEV($B$7:F7))</f>
        <v>0</v>
      </c>
      <c r="G13" s="2"/>
      <c r="H13" s="2"/>
      <c r="I13" s="2"/>
      <c r="J13" s="2"/>
      <c r="K13" s="2">
        <f>IF(STDEV($B$7:K7)&lt;0.000000025,0,STDEV($B$7:K7))</f>
        <v>0</v>
      </c>
      <c r="L13" s="2"/>
    </row>
    <row r="14" spans="1:12" ht="12.75">
      <c r="A14" t="s">
        <v>55</v>
      </c>
      <c r="F14" s="2">
        <f>SUM(B9:F9)/5</f>
        <v>1.3010299956639813</v>
      </c>
      <c r="G14" s="2"/>
      <c r="H14" s="2"/>
      <c r="I14" s="2"/>
      <c r="J14" s="2"/>
      <c r="K14" s="2">
        <f>SUM(B9:K9)/10</f>
        <v>1.3010299956639813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1.146128035678238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1.146128035678238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8" ht="12.75">
      <c r="B48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8.2812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invoer!A14</f>
        <v>Cadmium,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Cadmium, mg/kg d.s.</v>
      </c>
      <c r="B6" s="1">
        <f>invoer!C14</f>
        <v>0.28</v>
      </c>
      <c r="C6" s="1">
        <f>invoer!D14</f>
        <v>0.28</v>
      </c>
      <c r="D6" s="1">
        <f>invoer!E14</f>
        <v>0.28</v>
      </c>
      <c r="E6" s="1">
        <f>invoer!F14</f>
        <v>0.28</v>
      </c>
      <c r="F6" s="1">
        <f>invoer!G14</f>
        <v>0.28</v>
      </c>
      <c r="G6" s="1">
        <f>invoer!H14</f>
        <v>0.28</v>
      </c>
      <c r="H6" s="1">
        <f>invoer!I14</f>
        <v>0.28</v>
      </c>
      <c r="I6" s="1">
        <f>invoer!J14</f>
        <v>0.8</v>
      </c>
      <c r="J6" s="1">
        <f>invoer!K14</f>
        <v>0.28</v>
      </c>
      <c r="K6" s="1">
        <f>invoer!L14</f>
        <v>0.28</v>
      </c>
      <c r="L6" s="1"/>
    </row>
    <row r="7" spans="1:12" ht="12.75">
      <c r="A7" t="s">
        <v>35</v>
      </c>
      <c r="B7" s="2">
        <f>IF(B6=0,"",LOG(B6))</f>
        <v>-0.5528419686577808</v>
      </c>
      <c r="C7" s="2">
        <f aca="true" t="shared" si="0" ref="C7:K7">IF(C6=0,"",LOG(C6))</f>
        <v>-0.5528419686577808</v>
      </c>
      <c r="D7" s="2">
        <f t="shared" si="0"/>
        <v>-0.5528419686577808</v>
      </c>
      <c r="E7" s="2">
        <f t="shared" si="0"/>
        <v>-0.5528419686577808</v>
      </c>
      <c r="F7" s="2">
        <f t="shared" si="0"/>
        <v>-0.5528419686577808</v>
      </c>
      <c r="G7" s="2">
        <f t="shared" si="0"/>
        <v>-0.5528419686577808</v>
      </c>
      <c r="H7" s="2">
        <f t="shared" si="0"/>
        <v>-0.5528419686577808</v>
      </c>
      <c r="I7" s="2">
        <f t="shared" si="0"/>
        <v>-0.09691001300805639</v>
      </c>
      <c r="J7" s="2">
        <f t="shared" si="0"/>
        <v>-0.5528419686577808</v>
      </c>
      <c r="K7" s="2">
        <f t="shared" si="0"/>
        <v>-0.5528419686577808</v>
      </c>
      <c r="L7" s="2"/>
    </row>
    <row r="8" spans="1:12" ht="12.75">
      <c r="A8" t="s">
        <v>16</v>
      </c>
      <c r="B8" s="2">
        <f>invoer!C28</f>
        <v>0.6002547770700636</v>
      </c>
      <c r="C8" s="2">
        <f>invoer!D28</f>
        <v>0.6002547770700636</v>
      </c>
      <c r="D8" s="2">
        <f>invoer!E28</f>
        <v>0.6002547770700636</v>
      </c>
      <c r="E8" s="2">
        <f>invoer!F28</f>
        <v>0.6002547770700636</v>
      </c>
      <c r="F8" s="2">
        <f>invoer!G28</f>
        <v>0.6002547770700636</v>
      </c>
      <c r="G8" s="2">
        <f>invoer!H28</f>
        <v>0.6002547770700636</v>
      </c>
      <c r="H8" s="2">
        <f>invoer!I28</f>
        <v>0.6002547770700636</v>
      </c>
      <c r="I8" s="2">
        <f>invoer!J28</f>
        <v>0.6002547770700636</v>
      </c>
      <c r="J8" s="2">
        <f>invoer!K28</f>
        <v>0.6002547770700636</v>
      </c>
      <c r="K8" s="2">
        <f>invoer!L28</f>
        <v>0.6002547770700636</v>
      </c>
      <c r="L8" s="2"/>
    </row>
    <row r="9" spans="1:12" ht="12.75">
      <c r="A9" t="s">
        <v>2</v>
      </c>
      <c r="B9" s="2">
        <f>IF(B8=0,"",LOG(B8))</f>
        <v>-0.2216643749662074</v>
      </c>
      <c r="C9" s="2">
        <f aca="true" t="shared" si="1" ref="C9:K9">IF(C8=0,"",LOG(C8))</f>
        <v>-0.2216643749662074</v>
      </c>
      <c r="D9" s="2">
        <f t="shared" si="1"/>
        <v>-0.2216643749662074</v>
      </c>
      <c r="E9" s="2">
        <f t="shared" si="1"/>
        <v>-0.2216643749662074</v>
      </c>
      <c r="F9" s="2">
        <f t="shared" si="1"/>
        <v>-0.2216643749662074</v>
      </c>
      <c r="G9" s="2">
        <f t="shared" si="1"/>
        <v>-0.2216643749662074</v>
      </c>
      <c r="H9" s="2">
        <f t="shared" si="1"/>
        <v>-0.2216643749662074</v>
      </c>
      <c r="I9" s="2">
        <f t="shared" si="1"/>
        <v>-0.2216643749662074</v>
      </c>
      <c r="J9" s="2">
        <f t="shared" si="1"/>
        <v>-0.2216643749662074</v>
      </c>
      <c r="K9" s="2">
        <f t="shared" si="1"/>
        <v>-0.2216643749662074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-0.5528419686577808</v>
      </c>
      <c r="G12" s="2"/>
      <c r="H12" s="2"/>
      <c r="I12" s="2"/>
      <c r="J12" s="2"/>
      <c r="K12" s="2">
        <f>SUM(B7:K7)/10</f>
        <v>-0.5072487730928082</v>
      </c>
      <c r="L12" s="2"/>
    </row>
    <row r="13" spans="1:12" s="31" customFormat="1" ht="12.75">
      <c r="A13" s="31" t="s">
        <v>1</v>
      </c>
      <c r="F13" s="2">
        <f>IF(STDEV($B$7:F7)&lt;0.000000025,0,STDEV($B$7:F7))</f>
        <v>0</v>
      </c>
      <c r="G13" s="2"/>
      <c r="H13" s="2"/>
      <c r="I13" s="2"/>
      <c r="J13" s="2"/>
      <c r="K13" s="2">
        <f>IF(STDEV($B$7:K7)&lt;0.000000025,0,STDEV($B$7:K7))</f>
        <v>0.14417834379080088</v>
      </c>
      <c r="L13" s="2"/>
    </row>
    <row r="14" spans="1:12" ht="12.75">
      <c r="A14" t="s">
        <v>55</v>
      </c>
      <c r="F14" s="2">
        <f>SUM(B9:F9)/5</f>
        <v>-0.22166437496620742</v>
      </c>
      <c r="G14" s="2"/>
      <c r="H14" s="2"/>
      <c r="I14" s="2"/>
      <c r="J14" s="2"/>
      <c r="K14" s="2">
        <f>SUM(B9:K9)/10</f>
        <v>-0.22166437496620744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-0.5528419686577808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-0.2087996014458504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nee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90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21.7109375" style="6" customWidth="1"/>
    <col min="2" max="2" width="10.00390625" style="6" customWidth="1"/>
    <col min="3" max="12" width="11.7109375" style="5" customWidth="1"/>
    <col min="13" max="13" width="10.7109375" style="5" customWidth="1"/>
    <col min="14" max="16" width="9.140625" style="5" customWidth="1"/>
    <col min="17" max="16384" width="9.140625" style="6" customWidth="1"/>
  </cols>
  <sheetData>
    <row r="1" spans="1:2" ht="15.75">
      <c r="A1" s="19" t="s">
        <v>40</v>
      </c>
      <c r="B1" s="19"/>
    </row>
    <row r="2" spans="1:2" ht="4.5" customHeight="1">
      <c r="A2" s="19"/>
      <c r="B2" s="19"/>
    </row>
    <row r="3" spans="1:7" ht="15.75">
      <c r="A3" s="103" t="s">
        <v>41</v>
      </c>
      <c r="B3" s="26"/>
      <c r="C3" s="108" t="s">
        <v>67</v>
      </c>
      <c r="D3" s="109"/>
      <c r="E3" s="112">
        <f>IF(SUM(M24:V24)=10,10,IF(SUM(M24:Q24)=5,5,"fout"))</f>
        <v>10</v>
      </c>
      <c r="F3" s="7"/>
      <c r="G3" s="7"/>
    </row>
    <row r="4" spans="1:7" ht="15.75">
      <c r="A4" s="104"/>
      <c r="B4" s="26"/>
      <c r="C4" s="110"/>
      <c r="D4" s="111"/>
      <c r="E4" s="113"/>
      <c r="F4" s="7"/>
      <c r="G4" s="7"/>
    </row>
    <row r="5" ht="4.5" customHeight="1"/>
    <row r="6" spans="1:13" ht="11.25" customHeight="1">
      <c r="A6" s="6" t="s">
        <v>42</v>
      </c>
      <c r="C6" s="20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20" t="s">
        <v>49</v>
      </c>
      <c r="I6" s="5" t="s">
        <v>50</v>
      </c>
      <c r="J6" s="5" t="s">
        <v>51</v>
      </c>
      <c r="K6" s="5" t="s">
        <v>52</v>
      </c>
      <c r="L6" s="9" t="s">
        <v>53</v>
      </c>
      <c r="M6" s="20"/>
    </row>
    <row r="7" spans="1:16" s="8" customFormat="1" ht="11.25">
      <c r="A7" s="8" t="s">
        <v>78</v>
      </c>
      <c r="C7" s="68" t="s">
        <v>68</v>
      </c>
      <c r="D7" s="69" t="s">
        <v>69</v>
      </c>
      <c r="E7" s="69" t="s">
        <v>70</v>
      </c>
      <c r="F7" s="69" t="s">
        <v>71</v>
      </c>
      <c r="G7" s="70" t="s">
        <v>72</v>
      </c>
      <c r="H7" s="69" t="s">
        <v>73</v>
      </c>
      <c r="I7" s="69" t="s">
        <v>74</v>
      </c>
      <c r="J7" s="69" t="s">
        <v>75</v>
      </c>
      <c r="K7" s="69" t="s">
        <v>76</v>
      </c>
      <c r="L7" s="69" t="s">
        <v>77</v>
      </c>
      <c r="M7" s="24"/>
      <c r="N7" s="9"/>
      <c r="O7" s="9"/>
      <c r="P7" s="9"/>
    </row>
    <row r="8" spans="1:16" s="8" customFormat="1" ht="11.25">
      <c r="A8" s="8" t="s">
        <v>18</v>
      </c>
      <c r="C8" s="60">
        <v>37959</v>
      </c>
      <c r="D8" s="61">
        <v>37959</v>
      </c>
      <c r="E8" s="61">
        <v>37959</v>
      </c>
      <c r="F8" s="61">
        <v>38062</v>
      </c>
      <c r="G8" s="61">
        <v>38062</v>
      </c>
      <c r="H8" s="60">
        <v>37959</v>
      </c>
      <c r="I8" s="61">
        <v>37959</v>
      </c>
      <c r="J8" s="61">
        <v>37959</v>
      </c>
      <c r="K8" s="61">
        <v>38062</v>
      </c>
      <c r="L8" s="61">
        <v>38062</v>
      </c>
      <c r="M8" s="20"/>
      <c r="N8" s="9"/>
      <c r="O8" s="9"/>
      <c r="P8" s="9"/>
    </row>
    <row r="9" spans="1:29" s="8" customFormat="1" ht="11.25">
      <c r="A9" s="8" t="s">
        <v>38</v>
      </c>
      <c r="C9" s="60" t="s">
        <v>39</v>
      </c>
      <c r="D9" s="61" t="s">
        <v>39</v>
      </c>
      <c r="E9" s="61" t="s">
        <v>39</v>
      </c>
      <c r="F9" s="61" t="s">
        <v>39</v>
      </c>
      <c r="G9" s="61" t="s">
        <v>39</v>
      </c>
      <c r="H9" s="60" t="s">
        <v>39</v>
      </c>
      <c r="I9" s="61" t="s">
        <v>39</v>
      </c>
      <c r="J9" s="61" t="s">
        <v>39</v>
      </c>
      <c r="K9" s="61" t="s">
        <v>39</v>
      </c>
      <c r="L9" s="61" t="s">
        <v>39</v>
      </c>
      <c r="M9" s="24"/>
      <c r="N9" s="34"/>
      <c r="O9" s="34"/>
      <c r="P9" s="3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0" customFormat="1" ht="11.25">
      <c r="A10" s="10" t="s">
        <v>43</v>
      </c>
      <c r="C10" s="62" t="s">
        <v>36</v>
      </c>
      <c r="D10" s="63" t="s">
        <v>36</v>
      </c>
      <c r="E10" s="63" t="s">
        <v>36</v>
      </c>
      <c r="F10" s="63" t="s">
        <v>37</v>
      </c>
      <c r="G10" s="63" t="s">
        <v>37</v>
      </c>
      <c r="H10" s="62" t="s">
        <v>36</v>
      </c>
      <c r="I10" s="63" t="s">
        <v>36</v>
      </c>
      <c r="J10" s="63" t="s">
        <v>36</v>
      </c>
      <c r="K10" s="63" t="s">
        <v>37</v>
      </c>
      <c r="L10" s="63" t="s">
        <v>37</v>
      </c>
      <c r="M10" s="24"/>
      <c r="N10" s="34"/>
      <c r="O10" s="34"/>
      <c r="P10" s="3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8" customFormat="1" ht="11.25">
      <c r="A11" s="12" t="s">
        <v>31</v>
      </c>
      <c r="B11" s="12"/>
      <c r="C11" s="22">
        <v>15</v>
      </c>
      <c r="D11" s="13">
        <v>15</v>
      </c>
      <c r="E11" s="13">
        <v>15</v>
      </c>
      <c r="F11" s="13">
        <v>15</v>
      </c>
      <c r="G11" s="13">
        <v>15</v>
      </c>
      <c r="H11" s="22">
        <v>15</v>
      </c>
      <c r="I11" s="13">
        <v>15</v>
      </c>
      <c r="J11" s="13">
        <v>15</v>
      </c>
      <c r="K11" s="13">
        <v>15</v>
      </c>
      <c r="L11" s="13">
        <v>15</v>
      </c>
      <c r="M11" s="73"/>
      <c r="N11" s="43"/>
      <c r="O11" s="43"/>
      <c r="P11" s="43"/>
      <c r="Q11" s="44"/>
      <c r="R11" s="44"/>
      <c r="S11" s="44"/>
      <c r="T11" s="44"/>
      <c r="U11" s="44"/>
      <c r="V11" s="44"/>
      <c r="W11" s="44"/>
      <c r="X11" s="12"/>
      <c r="Y11" s="12"/>
      <c r="Z11" s="12"/>
      <c r="AA11" s="12"/>
      <c r="AB11" s="12"/>
      <c r="AC11" s="12"/>
    </row>
    <row r="12" spans="1:29" s="8" customFormat="1" ht="11.25">
      <c r="A12" s="82" t="s">
        <v>32</v>
      </c>
      <c r="B12" s="89"/>
      <c r="C12" s="79">
        <v>4</v>
      </c>
      <c r="D12" s="80">
        <v>4</v>
      </c>
      <c r="E12" s="80">
        <v>4</v>
      </c>
      <c r="F12" s="80">
        <v>4</v>
      </c>
      <c r="G12" s="80">
        <v>4</v>
      </c>
      <c r="H12" s="79">
        <v>4</v>
      </c>
      <c r="I12" s="80">
        <v>4</v>
      </c>
      <c r="J12" s="80">
        <v>4</v>
      </c>
      <c r="K12" s="80">
        <v>4</v>
      </c>
      <c r="L12" s="81">
        <v>4</v>
      </c>
      <c r="M12" s="73"/>
      <c r="N12" s="43"/>
      <c r="O12" s="43"/>
      <c r="P12" s="43"/>
      <c r="Q12" s="44"/>
      <c r="R12" s="44"/>
      <c r="S12" s="44"/>
      <c r="T12" s="44"/>
      <c r="U12" s="44"/>
      <c r="V12" s="44"/>
      <c r="W12" s="44"/>
      <c r="X12" s="12"/>
      <c r="Y12" s="12"/>
      <c r="Z12" s="12"/>
      <c r="AA12" s="12"/>
      <c r="AB12" s="12"/>
      <c r="AC12" s="12"/>
    </row>
    <row r="13" spans="1:29" ht="11.25">
      <c r="A13" s="14" t="s">
        <v>19</v>
      </c>
      <c r="B13" s="14"/>
      <c r="C13" s="23">
        <v>4.25</v>
      </c>
      <c r="D13" s="15">
        <v>4.9</v>
      </c>
      <c r="E13" s="15">
        <v>6</v>
      </c>
      <c r="F13" s="15">
        <v>4</v>
      </c>
      <c r="G13" s="15">
        <v>4</v>
      </c>
      <c r="H13" s="23">
        <v>4.25</v>
      </c>
      <c r="I13" s="15">
        <v>4.9</v>
      </c>
      <c r="J13" s="15">
        <v>10</v>
      </c>
      <c r="K13" s="15">
        <v>4</v>
      </c>
      <c r="L13" s="15">
        <v>4</v>
      </c>
      <c r="M13" s="91">
        <f>IF(C13="",0,1)</f>
        <v>1</v>
      </c>
      <c r="N13" s="46">
        <f aca="true" t="shared" si="0" ref="N13:V23">IF(D13="",0,1)</f>
        <v>1</v>
      </c>
      <c r="O13" s="46">
        <f t="shared" si="0"/>
        <v>1</v>
      </c>
      <c r="P13" s="46">
        <f t="shared" si="0"/>
        <v>1</v>
      </c>
      <c r="Q13" s="46">
        <f t="shared" si="0"/>
        <v>1</v>
      </c>
      <c r="R13" s="46">
        <f t="shared" si="0"/>
        <v>1</v>
      </c>
      <c r="S13" s="46">
        <f t="shared" si="0"/>
        <v>1</v>
      </c>
      <c r="T13" s="46">
        <f t="shared" si="0"/>
        <v>1</v>
      </c>
      <c r="U13" s="46">
        <f t="shared" si="0"/>
        <v>1</v>
      </c>
      <c r="V13" s="46">
        <f t="shared" si="0"/>
        <v>1</v>
      </c>
      <c r="W13" s="92"/>
      <c r="X13" s="12"/>
      <c r="Y13" s="12"/>
      <c r="Z13" s="12"/>
      <c r="AA13" s="12"/>
      <c r="AB13" s="12"/>
      <c r="AC13" s="12"/>
    </row>
    <row r="14" spans="1:29" ht="11.25">
      <c r="A14" s="14" t="s">
        <v>20</v>
      </c>
      <c r="B14" s="14"/>
      <c r="C14" s="23">
        <v>0.28</v>
      </c>
      <c r="D14" s="42">
        <v>0.28</v>
      </c>
      <c r="E14" s="42">
        <v>0.28</v>
      </c>
      <c r="F14" s="42">
        <v>0.28</v>
      </c>
      <c r="G14" s="48">
        <v>0.28</v>
      </c>
      <c r="H14" s="42">
        <v>0.28</v>
      </c>
      <c r="I14" s="42">
        <v>0.28</v>
      </c>
      <c r="J14" s="42">
        <v>0.8</v>
      </c>
      <c r="K14" s="42">
        <v>0.28</v>
      </c>
      <c r="L14" s="48">
        <v>0.28</v>
      </c>
      <c r="M14" s="91">
        <f aca="true" t="shared" si="1" ref="M14:M23">IF(C14="",0,1)</f>
        <v>1</v>
      </c>
      <c r="N14" s="46">
        <f t="shared" si="0"/>
        <v>1</v>
      </c>
      <c r="O14" s="46">
        <f t="shared" si="0"/>
        <v>1</v>
      </c>
      <c r="P14" s="46">
        <f t="shared" si="0"/>
        <v>1</v>
      </c>
      <c r="Q14" s="46">
        <f t="shared" si="0"/>
        <v>1</v>
      </c>
      <c r="R14" s="46">
        <f t="shared" si="0"/>
        <v>1</v>
      </c>
      <c r="S14" s="46">
        <f t="shared" si="0"/>
        <v>1</v>
      </c>
      <c r="T14" s="46">
        <f t="shared" si="0"/>
        <v>1</v>
      </c>
      <c r="U14" s="46">
        <f t="shared" si="0"/>
        <v>1</v>
      </c>
      <c r="V14" s="46">
        <f t="shared" si="0"/>
        <v>1</v>
      </c>
      <c r="W14" s="92"/>
      <c r="X14" s="12"/>
      <c r="Y14" s="12"/>
      <c r="Z14" s="12"/>
      <c r="AA14" s="12"/>
      <c r="AB14" s="12"/>
      <c r="AC14" s="12"/>
    </row>
    <row r="15" spans="1:29" ht="11.25">
      <c r="A15" s="14" t="s">
        <v>21</v>
      </c>
      <c r="B15" s="14"/>
      <c r="C15" s="23">
        <v>15</v>
      </c>
      <c r="D15" s="15">
        <v>16.5</v>
      </c>
      <c r="E15" s="15">
        <v>16.5</v>
      </c>
      <c r="F15" s="15">
        <v>15</v>
      </c>
      <c r="G15" s="15">
        <v>15</v>
      </c>
      <c r="H15" s="23">
        <v>15</v>
      </c>
      <c r="I15" s="15">
        <v>16.5</v>
      </c>
      <c r="J15" s="15">
        <v>16.5</v>
      </c>
      <c r="K15" s="15">
        <v>15</v>
      </c>
      <c r="L15" s="48">
        <v>15</v>
      </c>
      <c r="M15" s="91">
        <f t="shared" si="1"/>
        <v>1</v>
      </c>
      <c r="N15" s="46">
        <f t="shared" si="0"/>
        <v>1</v>
      </c>
      <c r="O15" s="46">
        <f t="shared" si="0"/>
        <v>1</v>
      </c>
      <c r="P15" s="46">
        <f t="shared" si="0"/>
        <v>1</v>
      </c>
      <c r="Q15" s="46">
        <f t="shared" si="0"/>
        <v>1</v>
      </c>
      <c r="R15" s="46">
        <f t="shared" si="0"/>
        <v>1</v>
      </c>
      <c r="S15" s="46">
        <f t="shared" si="0"/>
        <v>1</v>
      </c>
      <c r="T15" s="46">
        <f t="shared" si="0"/>
        <v>1</v>
      </c>
      <c r="U15" s="46">
        <f t="shared" si="0"/>
        <v>1</v>
      </c>
      <c r="V15" s="46">
        <f t="shared" si="0"/>
        <v>1</v>
      </c>
      <c r="W15" s="92"/>
      <c r="X15" s="12"/>
      <c r="Y15" s="12"/>
      <c r="Z15" s="12"/>
      <c r="AA15" s="12"/>
      <c r="AB15" s="12"/>
      <c r="AC15" s="12"/>
    </row>
    <row r="16" spans="1:29" ht="11.25">
      <c r="A16" s="14" t="s">
        <v>22</v>
      </c>
      <c r="B16" s="14"/>
      <c r="C16" s="23">
        <v>5</v>
      </c>
      <c r="D16" s="15">
        <v>5</v>
      </c>
      <c r="E16" s="15">
        <v>5</v>
      </c>
      <c r="F16" s="15">
        <v>5</v>
      </c>
      <c r="G16" s="15">
        <v>5</v>
      </c>
      <c r="H16" s="23">
        <v>5</v>
      </c>
      <c r="I16" s="15">
        <v>5</v>
      </c>
      <c r="J16" s="15">
        <v>5</v>
      </c>
      <c r="K16" s="15">
        <v>5</v>
      </c>
      <c r="L16" s="15">
        <v>5</v>
      </c>
      <c r="M16" s="91">
        <f t="shared" si="1"/>
        <v>1</v>
      </c>
      <c r="N16" s="46">
        <f t="shared" si="0"/>
        <v>1</v>
      </c>
      <c r="O16" s="46">
        <f t="shared" si="0"/>
        <v>1</v>
      </c>
      <c r="P16" s="46">
        <f t="shared" si="0"/>
        <v>1</v>
      </c>
      <c r="Q16" s="46">
        <f t="shared" si="0"/>
        <v>1</v>
      </c>
      <c r="R16" s="46">
        <f t="shared" si="0"/>
        <v>1</v>
      </c>
      <c r="S16" s="46">
        <f t="shared" si="0"/>
        <v>1</v>
      </c>
      <c r="T16" s="46">
        <f t="shared" si="0"/>
        <v>1</v>
      </c>
      <c r="U16" s="46">
        <f t="shared" si="0"/>
        <v>1</v>
      </c>
      <c r="V16" s="46">
        <f t="shared" si="0"/>
        <v>1</v>
      </c>
      <c r="W16" s="92"/>
      <c r="X16" s="12"/>
      <c r="Y16" s="12"/>
      <c r="Z16" s="12"/>
      <c r="AA16" s="12"/>
      <c r="AB16" s="12"/>
      <c r="AC16" s="12"/>
    </row>
    <row r="17" spans="1:29" ht="11.25">
      <c r="A17" s="14" t="s">
        <v>23</v>
      </c>
      <c r="B17" s="14"/>
      <c r="C17" s="23">
        <v>0.255</v>
      </c>
      <c r="D17" s="15">
        <v>0.255</v>
      </c>
      <c r="E17" s="15">
        <v>0.255</v>
      </c>
      <c r="F17" s="15">
        <v>0.255</v>
      </c>
      <c r="G17" s="15">
        <v>0.255</v>
      </c>
      <c r="H17" s="23">
        <v>0.255</v>
      </c>
      <c r="I17" s="15">
        <v>0.255</v>
      </c>
      <c r="J17" s="15">
        <v>0.255</v>
      </c>
      <c r="K17" s="15">
        <v>0.255</v>
      </c>
      <c r="L17" s="15">
        <v>0.255</v>
      </c>
      <c r="M17" s="91">
        <f t="shared" si="1"/>
        <v>1</v>
      </c>
      <c r="N17" s="46">
        <f t="shared" si="0"/>
        <v>1</v>
      </c>
      <c r="O17" s="46">
        <f t="shared" si="0"/>
        <v>1</v>
      </c>
      <c r="P17" s="46">
        <f t="shared" si="0"/>
        <v>1</v>
      </c>
      <c r="Q17" s="46">
        <f t="shared" si="0"/>
        <v>1</v>
      </c>
      <c r="R17" s="46">
        <f t="shared" si="0"/>
        <v>1</v>
      </c>
      <c r="S17" s="46">
        <f t="shared" si="0"/>
        <v>1</v>
      </c>
      <c r="T17" s="46">
        <f t="shared" si="0"/>
        <v>1</v>
      </c>
      <c r="U17" s="46">
        <f t="shared" si="0"/>
        <v>1</v>
      </c>
      <c r="V17" s="46">
        <f t="shared" si="0"/>
        <v>1</v>
      </c>
      <c r="W17" s="92"/>
      <c r="X17" s="12"/>
      <c r="Y17" s="12"/>
      <c r="Z17" s="12"/>
      <c r="AA17" s="12"/>
      <c r="AB17" s="12"/>
      <c r="AC17" s="12"/>
    </row>
    <row r="18" spans="1:29" ht="11.25">
      <c r="A18" s="14" t="s">
        <v>24</v>
      </c>
      <c r="B18" s="14"/>
      <c r="C18" s="23">
        <v>13</v>
      </c>
      <c r="D18" s="15">
        <v>13</v>
      </c>
      <c r="E18" s="15">
        <v>13</v>
      </c>
      <c r="F18" s="15">
        <v>13</v>
      </c>
      <c r="G18" s="15">
        <v>13</v>
      </c>
      <c r="H18" s="23">
        <v>13</v>
      </c>
      <c r="I18" s="15">
        <v>13</v>
      </c>
      <c r="J18" s="15">
        <v>13</v>
      </c>
      <c r="K18" s="15">
        <v>13</v>
      </c>
      <c r="L18" s="15">
        <v>13</v>
      </c>
      <c r="M18" s="91">
        <f t="shared" si="1"/>
        <v>1</v>
      </c>
      <c r="N18" s="46">
        <f t="shared" si="0"/>
        <v>1</v>
      </c>
      <c r="O18" s="46">
        <f t="shared" si="0"/>
        <v>1</v>
      </c>
      <c r="P18" s="46">
        <f t="shared" si="0"/>
        <v>1</v>
      </c>
      <c r="Q18" s="46">
        <f t="shared" si="0"/>
        <v>1</v>
      </c>
      <c r="R18" s="46">
        <f t="shared" si="0"/>
        <v>1</v>
      </c>
      <c r="S18" s="46">
        <f t="shared" si="0"/>
        <v>1</v>
      </c>
      <c r="T18" s="46">
        <f t="shared" si="0"/>
        <v>1</v>
      </c>
      <c r="U18" s="46">
        <f t="shared" si="0"/>
        <v>1</v>
      </c>
      <c r="V18" s="46">
        <f t="shared" si="0"/>
        <v>1</v>
      </c>
      <c r="W18" s="92"/>
      <c r="X18" s="12"/>
      <c r="Y18" s="12"/>
      <c r="Z18" s="12"/>
      <c r="AA18" s="12"/>
      <c r="AB18" s="12"/>
      <c r="AC18" s="12"/>
    </row>
    <row r="19" spans="1:29" ht="11.25">
      <c r="A19" s="14" t="s">
        <v>25</v>
      </c>
      <c r="B19" s="14"/>
      <c r="C19" s="23">
        <v>10</v>
      </c>
      <c r="D19" s="15">
        <v>10</v>
      </c>
      <c r="E19" s="15">
        <v>10</v>
      </c>
      <c r="F19" s="15">
        <v>10</v>
      </c>
      <c r="G19" s="15">
        <v>10</v>
      </c>
      <c r="H19" s="23">
        <v>10</v>
      </c>
      <c r="I19" s="15">
        <v>10</v>
      </c>
      <c r="J19" s="15">
        <v>10</v>
      </c>
      <c r="K19" s="15">
        <v>10</v>
      </c>
      <c r="L19" s="15">
        <v>10</v>
      </c>
      <c r="M19" s="91">
        <f t="shared" si="1"/>
        <v>1</v>
      </c>
      <c r="N19" s="46">
        <f t="shared" si="0"/>
        <v>1</v>
      </c>
      <c r="O19" s="46">
        <f t="shared" si="0"/>
        <v>1</v>
      </c>
      <c r="P19" s="46">
        <f t="shared" si="0"/>
        <v>1</v>
      </c>
      <c r="Q19" s="46">
        <f t="shared" si="0"/>
        <v>1</v>
      </c>
      <c r="R19" s="46">
        <f t="shared" si="0"/>
        <v>1</v>
      </c>
      <c r="S19" s="46">
        <f t="shared" si="0"/>
        <v>1</v>
      </c>
      <c r="T19" s="46">
        <f t="shared" si="0"/>
        <v>1</v>
      </c>
      <c r="U19" s="46">
        <f t="shared" si="0"/>
        <v>1</v>
      </c>
      <c r="V19" s="46">
        <f t="shared" si="0"/>
        <v>1</v>
      </c>
      <c r="W19" s="92"/>
      <c r="X19" s="12"/>
      <c r="Y19" s="12"/>
      <c r="Z19" s="12"/>
      <c r="AA19" s="12"/>
      <c r="AB19" s="12"/>
      <c r="AC19" s="12"/>
    </row>
    <row r="20" spans="1:29" ht="11.25">
      <c r="A20" s="14" t="s">
        <v>26</v>
      </c>
      <c r="B20" s="14"/>
      <c r="C20" s="23">
        <v>40</v>
      </c>
      <c r="D20" s="15">
        <v>55</v>
      </c>
      <c r="E20" s="15">
        <v>50</v>
      </c>
      <c r="F20" s="15">
        <v>60</v>
      </c>
      <c r="G20" s="15">
        <v>70</v>
      </c>
      <c r="H20" s="23">
        <v>40</v>
      </c>
      <c r="I20" s="15">
        <v>55</v>
      </c>
      <c r="J20" s="15">
        <v>50</v>
      </c>
      <c r="K20" s="15">
        <v>60</v>
      </c>
      <c r="L20" s="15">
        <v>70</v>
      </c>
      <c r="M20" s="91">
        <f t="shared" si="1"/>
        <v>1</v>
      </c>
      <c r="N20" s="46">
        <f t="shared" si="0"/>
        <v>1</v>
      </c>
      <c r="O20" s="46">
        <f t="shared" si="0"/>
        <v>1</v>
      </c>
      <c r="P20" s="46">
        <f t="shared" si="0"/>
        <v>1</v>
      </c>
      <c r="Q20" s="46">
        <f t="shared" si="0"/>
        <v>1</v>
      </c>
      <c r="R20" s="46">
        <f t="shared" si="0"/>
        <v>1</v>
      </c>
      <c r="S20" s="46">
        <f t="shared" si="0"/>
        <v>1</v>
      </c>
      <c r="T20" s="46">
        <f t="shared" si="0"/>
        <v>1</v>
      </c>
      <c r="U20" s="46">
        <f t="shared" si="0"/>
        <v>1</v>
      </c>
      <c r="V20" s="46">
        <f t="shared" si="0"/>
        <v>1</v>
      </c>
      <c r="W20" s="92"/>
      <c r="X20" s="12"/>
      <c r="Y20" s="12"/>
      <c r="Z20" s="12"/>
      <c r="AA20" s="12"/>
      <c r="AB20" s="12"/>
      <c r="AC20" s="12"/>
    </row>
    <row r="21" spans="1:29" ht="11.25">
      <c r="A21" s="14" t="s">
        <v>27</v>
      </c>
      <c r="B21" s="14"/>
      <c r="C21" s="23">
        <v>0.07</v>
      </c>
      <c r="D21" s="15">
        <v>0.07</v>
      </c>
      <c r="E21" s="15">
        <v>0.1</v>
      </c>
      <c r="F21" s="15">
        <v>0.07</v>
      </c>
      <c r="G21" s="15">
        <v>0.07</v>
      </c>
      <c r="H21" s="23">
        <v>0.07</v>
      </c>
      <c r="I21" s="15">
        <v>0.07</v>
      </c>
      <c r="J21" s="15">
        <v>0.1</v>
      </c>
      <c r="K21" s="15">
        <v>0.07</v>
      </c>
      <c r="L21" s="15">
        <v>0.07</v>
      </c>
      <c r="M21" s="91">
        <f t="shared" si="1"/>
        <v>1</v>
      </c>
      <c r="N21" s="46">
        <f t="shared" si="0"/>
        <v>1</v>
      </c>
      <c r="O21" s="46">
        <f t="shared" si="0"/>
        <v>1</v>
      </c>
      <c r="P21" s="46">
        <f t="shared" si="0"/>
        <v>1</v>
      </c>
      <c r="Q21" s="46">
        <f t="shared" si="0"/>
        <v>1</v>
      </c>
      <c r="R21" s="46">
        <f t="shared" si="0"/>
        <v>1</v>
      </c>
      <c r="S21" s="46">
        <f t="shared" si="0"/>
        <v>1</v>
      </c>
      <c r="T21" s="46">
        <f t="shared" si="0"/>
        <v>1</v>
      </c>
      <c r="U21" s="46">
        <f t="shared" si="0"/>
        <v>1</v>
      </c>
      <c r="V21" s="46">
        <f t="shared" si="0"/>
        <v>1</v>
      </c>
      <c r="W21" s="92"/>
      <c r="X21" s="12"/>
      <c r="Y21" s="12"/>
      <c r="Z21" s="12"/>
      <c r="AA21" s="12"/>
      <c r="AB21" s="12"/>
      <c r="AC21" s="12"/>
    </row>
    <row r="22" spans="1:29" ht="11.25">
      <c r="A22" s="14" t="s">
        <v>28</v>
      </c>
      <c r="B22" s="14"/>
      <c r="C22" s="23">
        <v>0.23</v>
      </c>
      <c r="D22" s="15">
        <v>0.12</v>
      </c>
      <c r="E22" s="15">
        <v>0.43</v>
      </c>
      <c r="F22" s="15">
        <v>0.24</v>
      </c>
      <c r="G22" s="15">
        <v>0.27</v>
      </c>
      <c r="H22" s="23">
        <v>0.3</v>
      </c>
      <c r="I22" s="15">
        <v>0.43</v>
      </c>
      <c r="J22" s="15">
        <v>0.14</v>
      </c>
      <c r="K22" s="15">
        <v>0.3</v>
      </c>
      <c r="L22" s="15">
        <v>0.21</v>
      </c>
      <c r="M22" s="91">
        <f t="shared" si="1"/>
        <v>1</v>
      </c>
      <c r="N22" s="46">
        <f t="shared" si="0"/>
        <v>1</v>
      </c>
      <c r="O22" s="46">
        <f t="shared" si="0"/>
        <v>1</v>
      </c>
      <c r="P22" s="46">
        <f t="shared" si="0"/>
        <v>1</v>
      </c>
      <c r="Q22" s="46">
        <f t="shared" si="0"/>
        <v>1</v>
      </c>
      <c r="R22" s="46">
        <f t="shared" si="0"/>
        <v>1</v>
      </c>
      <c r="S22" s="46">
        <f t="shared" si="0"/>
        <v>1</v>
      </c>
      <c r="T22" s="46">
        <f t="shared" si="0"/>
        <v>1</v>
      </c>
      <c r="U22" s="46">
        <f t="shared" si="0"/>
        <v>1</v>
      </c>
      <c r="V22" s="46">
        <f t="shared" si="0"/>
        <v>1</v>
      </c>
      <c r="W22" s="92"/>
      <c r="X22" s="12"/>
      <c r="Y22" s="12"/>
      <c r="Z22" s="12"/>
      <c r="AA22" s="12"/>
      <c r="AB22" s="12"/>
      <c r="AC22" s="12"/>
    </row>
    <row r="23" spans="1:29" s="36" customFormat="1" ht="11.25">
      <c r="A23" s="35" t="s">
        <v>29</v>
      </c>
      <c r="B23" s="35"/>
      <c r="C23" s="50">
        <v>14</v>
      </c>
      <c r="D23" s="40">
        <v>14</v>
      </c>
      <c r="E23" s="40">
        <v>14</v>
      </c>
      <c r="F23" s="40">
        <v>14</v>
      </c>
      <c r="G23" s="40">
        <v>14</v>
      </c>
      <c r="H23" s="50">
        <v>14</v>
      </c>
      <c r="I23" s="40">
        <v>14</v>
      </c>
      <c r="J23" s="40">
        <v>14</v>
      </c>
      <c r="K23" s="40">
        <v>14</v>
      </c>
      <c r="L23" s="40">
        <v>14</v>
      </c>
      <c r="M23" s="91">
        <f t="shared" si="1"/>
        <v>1</v>
      </c>
      <c r="N23" s="46">
        <f t="shared" si="0"/>
        <v>1</v>
      </c>
      <c r="O23" s="46">
        <f t="shared" si="0"/>
        <v>1</v>
      </c>
      <c r="P23" s="46">
        <f t="shared" si="0"/>
        <v>1</v>
      </c>
      <c r="Q23" s="46">
        <f t="shared" si="0"/>
        <v>1</v>
      </c>
      <c r="R23" s="46">
        <f t="shared" si="0"/>
        <v>1</v>
      </c>
      <c r="S23" s="46">
        <f t="shared" si="0"/>
        <v>1</v>
      </c>
      <c r="T23" s="46">
        <f t="shared" si="0"/>
        <v>1</v>
      </c>
      <c r="U23" s="46">
        <f t="shared" si="0"/>
        <v>1</v>
      </c>
      <c r="V23" s="46">
        <f t="shared" si="0"/>
        <v>1</v>
      </c>
      <c r="W23" s="92"/>
      <c r="X23" s="45"/>
      <c r="Y23" s="45"/>
      <c r="Z23" s="45"/>
      <c r="AA23" s="45"/>
      <c r="AB23" s="45"/>
      <c r="AC23" s="45"/>
    </row>
    <row r="24" spans="3:29" ht="11.25">
      <c r="C24" s="16">
        <f>IF(C11&lt;2,2,C11)</f>
        <v>15</v>
      </c>
      <c r="D24" s="16">
        <f aca="true" t="shared" si="2" ref="D24:L24">IF(D11&lt;2,2,D11)</f>
        <v>15</v>
      </c>
      <c r="E24" s="16">
        <f t="shared" si="2"/>
        <v>15</v>
      </c>
      <c r="F24" s="16">
        <f t="shared" si="2"/>
        <v>15</v>
      </c>
      <c r="G24" s="16">
        <f t="shared" si="2"/>
        <v>15</v>
      </c>
      <c r="H24" s="16">
        <f t="shared" si="2"/>
        <v>15</v>
      </c>
      <c r="I24" s="16">
        <f t="shared" si="2"/>
        <v>15</v>
      </c>
      <c r="J24" s="16">
        <f t="shared" si="2"/>
        <v>15</v>
      </c>
      <c r="K24" s="16">
        <f t="shared" si="2"/>
        <v>15</v>
      </c>
      <c r="L24" s="16">
        <f t="shared" si="2"/>
        <v>15</v>
      </c>
      <c r="M24" s="46">
        <f>IF(SUM(M13:M23)=11,1,0)</f>
        <v>1</v>
      </c>
      <c r="N24" s="46">
        <f aca="true" t="shared" si="3" ref="N24:V24">IF(SUM(N13:N23)=11,1,0)</f>
        <v>1</v>
      </c>
      <c r="O24" s="46">
        <f t="shared" si="3"/>
        <v>1</v>
      </c>
      <c r="P24" s="46">
        <f t="shared" si="3"/>
        <v>1</v>
      </c>
      <c r="Q24" s="46">
        <f t="shared" si="3"/>
        <v>1</v>
      </c>
      <c r="R24" s="46">
        <f t="shared" si="3"/>
        <v>1</v>
      </c>
      <c r="S24" s="46">
        <f t="shared" si="3"/>
        <v>1</v>
      </c>
      <c r="T24" s="46">
        <f t="shared" si="3"/>
        <v>1</v>
      </c>
      <c r="U24" s="46">
        <f t="shared" si="3"/>
        <v>1</v>
      </c>
      <c r="V24" s="46">
        <f t="shared" si="3"/>
        <v>1</v>
      </c>
      <c r="W24" s="92"/>
      <c r="X24" s="12"/>
      <c r="Y24" s="12"/>
      <c r="Z24" s="12"/>
      <c r="AA24" s="12"/>
      <c r="AB24" s="12"/>
      <c r="AC24" s="12"/>
    </row>
    <row r="25" spans="1:34" ht="11.25">
      <c r="A25" s="8" t="s">
        <v>17</v>
      </c>
      <c r="B25" s="8"/>
      <c r="C25" s="16">
        <f>IF(C12&lt;2,2,IF(C12&gt;30,30,C12))</f>
        <v>4</v>
      </c>
      <c r="D25" s="16">
        <f aca="true" t="shared" si="4" ref="D25:L25">IF(D12&lt;2,2,IF(D12&gt;30,30,D12))</f>
        <v>4</v>
      </c>
      <c r="E25" s="16">
        <f t="shared" si="4"/>
        <v>4</v>
      </c>
      <c r="F25" s="16">
        <f t="shared" si="4"/>
        <v>4</v>
      </c>
      <c r="G25" s="16">
        <f t="shared" si="4"/>
        <v>4</v>
      </c>
      <c r="H25" s="16">
        <f t="shared" si="4"/>
        <v>4</v>
      </c>
      <c r="I25" s="16">
        <f t="shared" si="4"/>
        <v>4</v>
      </c>
      <c r="J25" s="16">
        <f t="shared" si="4"/>
        <v>4</v>
      </c>
      <c r="K25" s="16">
        <f t="shared" si="4"/>
        <v>4</v>
      </c>
      <c r="L25" s="16">
        <f t="shared" si="4"/>
        <v>4</v>
      </c>
      <c r="M25" s="46"/>
      <c r="N25" s="46"/>
      <c r="O25" s="46"/>
      <c r="P25" s="4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0" customFormat="1" ht="11.25">
      <c r="A26" s="10" t="s">
        <v>33</v>
      </c>
      <c r="B26" s="10" t="s">
        <v>34</v>
      </c>
      <c r="C26" s="21" t="s">
        <v>15</v>
      </c>
      <c r="D26" s="11" t="s">
        <v>15</v>
      </c>
      <c r="E26" s="11" t="s">
        <v>15</v>
      </c>
      <c r="F26" s="11" t="s">
        <v>15</v>
      </c>
      <c r="G26" s="11" t="s">
        <v>15</v>
      </c>
      <c r="H26" s="21" t="s">
        <v>15</v>
      </c>
      <c r="I26" s="11" t="s">
        <v>15</v>
      </c>
      <c r="J26" s="11" t="s">
        <v>15</v>
      </c>
      <c r="K26" s="11" t="s">
        <v>15</v>
      </c>
      <c r="L26" s="41" t="s">
        <v>15</v>
      </c>
      <c r="M26" s="34"/>
      <c r="N26" s="34"/>
      <c r="O26" s="34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1.25">
      <c r="A27" s="6" t="s">
        <v>0</v>
      </c>
      <c r="B27" s="6">
        <v>4</v>
      </c>
      <c r="C27" s="73">
        <f>29*((15+(0.4*C24)+(0.4*C25))/(15+(0.4*25)+(0.4*10)))</f>
        <v>22.6</v>
      </c>
      <c r="D27" s="74">
        <f aca="true" t="shared" si="5" ref="D27:L27">29*((15+(0.4*D24)+(0.4*D25))/(15+(0.4*25)+(0.4*10)))</f>
        <v>22.6</v>
      </c>
      <c r="E27" s="74">
        <f t="shared" si="5"/>
        <v>22.6</v>
      </c>
      <c r="F27" s="74">
        <f t="shared" si="5"/>
        <v>22.6</v>
      </c>
      <c r="G27" s="74">
        <f t="shared" si="5"/>
        <v>22.6</v>
      </c>
      <c r="H27" s="73">
        <f t="shared" si="5"/>
        <v>22.6</v>
      </c>
      <c r="I27" s="74">
        <f t="shared" si="5"/>
        <v>22.6</v>
      </c>
      <c r="J27" s="74">
        <f t="shared" si="5"/>
        <v>22.6</v>
      </c>
      <c r="K27" s="74">
        <f t="shared" si="5"/>
        <v>22.6</v>
      </c>
      <c r="L27" s="75">
        <f t="shared" si="5"/>
        <v>22.6</v>
      </c>
      <c r="M27" s="49"/>
      <c r="N27" s="49"/>
      <c r="O27" s="49"/>
      <c r="P27" s="49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1.25">
      <c r="A28" s="6" t="s">
        <v>5</v>
      </c>
      <c r="B28" s="6">
        <v>0.4</v>
      </c>
      <c r="C28" s="73">
        <f>0.8*((0.4+(0.007*C24)+(0.021*C25))/(0.4+(0.007*25)+(0.021*10)))</f>
        <v>0.6002547770700636</v>
      </c>
      <c r="D28" s="74">
        <f aca="true" t="shared" si="6" ref="D28:L28">0.8*((0.4+(0.007*D24)+(0.021*D25))/(0.4+(0.007*25)+(0.021*10)))</f>
        <v>0.6002547770700636</v>
      </c>
      <c r="E28" s="74">
        <f t="shared" si="6"/>
        <v>0.6002547770700636</v>
      </c>
      <c r="F28" s="74">
        <f t="shared" si="6"/>
        <v>0.6002547770700636</v>
      </c>
      <c r="G28" s="74">
        <f t="shared" si="6"/>
        <v>0.6002547770700636</v>
      </c>
      <c r="H28" s="73">
        <f t="shared" si="6"/>
        <v>0.6002547770700636</v>
      </c>
      <c r="I28" s="74">
        <f t="shared" si="6"/>
        <v>0.6002547770700636</v>
      </c>
      <c r="J28" s="74">
        <f t="shared" si="6"/>
        <v>0.6002547770700636</v>
      </c>
      <c r="K28" s="74">
        <f t="shared" si="6"/>
        <v>0.6002547770700636</v>
      </c>
      <c r="L28" s="75">
        <f t="shared" si="6"/>
        <v>0.6002547770700636</v>
      </c>
      <c r="M28" s="49"/>
      <c r="N28" s="49"/>
      <c r="O28" s="49"/>
      <c r="P28" s="49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1.25">
      <c r="A29" s="6" t="s">
        <v>6</v>
      </c>
      <c r="B29" s="6">
        <v>15</v>
      </c>
      <c r="C29" s="73">
        <f>100*((50+(2*C24)+(0*C25))/(50+(2*25)+(0*10)))</f>
        <v>80</v>
      </c>
      <c r="D29" s="74">
        <f aca="true" t="shared" si="7" ref="D29:L29">100*((50+(2*D24)+(0*D25))/(50+(2*25)+(0*10)))</f>
        <v>80</v>
      </c>
      <c r="E29" s="74">
        <f t="shared" si="7"/>
        <v>80</v>
      </c>
      <c r="F29" s="74">
        <f t="shared" si="7"/>
        <v>80</v>
      </c>
      <c r="G29" s="74">
        <f t="shared" si="7"/>
        <v>80</v>
      </c>
      <c r="H29" s="73">
        <f t="shared" si="7"/>
        <v>80</v>
      </c>
      <c r="I29" s="74">
        <f t="shared" si="7"/>
        <v>80</v>
      </c>
      <c r="J29" s="74">
        <f t="shared" si="7"/>
        <v>80</v>
      </c>
      <c r="K29" s="74">
        <f t="shared" si="7"/>
        <v>80</v>
      </c>
      <c r="L29" s="75">
        <f t="shared" si="7"/>
        <v>80</v>
      </c>
      <c r="M29" s="49"/>
      <c r="N29" s="49"/>
      <c r="O29" s="49"/>
      <c r="P29" s="49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1.25">
      <c r="A30" s="6" t="s">
        <v>7</v>
      </c>
      <c r="B30" s="6">
        <v>5</v>
      </c>
      <c r="C30" s="73">
        <f>36*((15+(0.6*C24)+(0.6*C25))/(15+(0.6*25)+(0.6*10)))</f>
        <v>26.4</v>
      </c>
      <c r="D30" s="74">
        <f aca="true" t="shared" si="8" ref="D30:L30">36*((15+(0.6*D24)+(0.6*D25))/(15+(0.6*25)+(0.6*10)))</f>
        <v>26.4</v>
      </c>
      <c r="E30" s="74">
        <f t="shared" si="8"/>
        <v>26.4</v>
      </c>
      <c r="F30" s="74">
        <f t="shared" si="8"/>
        <v>26.4</v>
      </c>
      <c r="G30" s="74">
        <f t="shared" si="8"/>
        <v>26.4</v>
      </c>
      <c r="H30" s="73">
        <f t="shared" si="8"/>
        <v>26.4</v>
      </c>
      <c r="I30" s="74">
        <f t="shared" si="8"/>
        <v>26.4</v>
      </c>
      <c r="J30" s="74">
        <f t="shared" si="8"/>
        <v>26.4</v>
      </c>
      <c r="K30" s="74">
        <f t="shared" si="8"/>
        <v>26.4</v>
      </c>
      <c r="L30" s="75">
        <f t="shared" si="8"/>
        <v>26.4</v>
      </c>
      <c r="M30" s="49"/>
      <c r="N30" s="49"/>
      <c r="O30" s="49"/>
      <c r="P30" s="49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1.25">
      <c r="A31" s="6" t="s">
        <v>8</v>
      </c>
      <c r="B31" s="6">
        <v>0.05</v>
      </c>
      <c r="C31" s="73">
        <f>0.3*((0.2+(0.0034*C24)+(0.0017*C25))/(0.2+(0.0034*25)+(0.0017*10)))</f>
        <v>0.256092715231788</v>
      </c>
      <c r="D31" s="74">
        <f aca="true" t="shared" si="9" ref="D31:L31">0.3*((0.2+(0.0034*D24)+(0.0017*D25))/(0.2+(0.0034*25)+(0.0017*10)))</f>
        <v>0.256092715231788</v>
      </c>
      <c r="E31" s="74">
        <f t="shared" si="9"/>
        <v>0.256092715231788</v>
      </c>
      <c r="F31" s="74">
        <f t="shared" si="9"/>
        <v>0.256092715231788</v>
      </c>
      <c r="G31" s="74">
        <f t="shared" si="9"/>
        <v>0.256092715231788</v>
      </c>
      <c r="H31" s="73">
        <f t="shared" si="9"/>
        <v>0.256092715231788</v>
      </c>
      <c r="I31" s="74">
        <f t="shared" si="9"/>
        <v>0.256092715231788</v>
      </c>
      <c r="J31" s="74">
        <f t="shared" si="9"/>
        <v>0.256092715231788</v>
      </c>
      <c r="K31" s="74">
        <f t="shared" si="9"/>
        <v>0.256092715231788</v>
      </c>
      <c r="L31" s="75">
        <f t="shared" si="9"/>
        <v>0.256092715231788</v>
      </c>
      <c r="M31" s="49"/>
      <c r="N31" s="49"/>
      <c r="O31" s="49"/>
      <c r="P31" s="49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1.25">
      <c r="A32" s="6" t="s">
        <v>9</v>
      </c>
      <c r="B32" s="6">
        <v>13</v>
      </c>
      <c r="C32" s="73">
        <f>85*((50+(1*C24)+(1*C25))/(50+(1*25)+(1*10)))</f>
        <v>69</v>
      </c>
      <c r="D32" s="74">
        <f aca="true" t="shared" si="10" ref="D32:L32">85*((50+(1*D24)+(1*D25))/(50+(1*25)+(1*10)))</f>
        <v>69</v>
      </c>
      <c r="E32" s="74">
        <f t="shared" si="10"/>
        <v>69</v>
      </c>
      <c r="F32" s="74">
        <f t="shared" si="10"/>
        <v>69</v>
      </c>
      <c r="G32" s="74">
        <f t="shared" si="10"/>
        <v>69</v>
      </c>
      <c r="H32" s="73">
        <f t="shared" si="10"/>
        <v>69</v>
      </c>
      <c r="I32" s="74">
        <f t="shared" si="10"/>
        <v>69</v>
      </c>
      <c r="J32" s="74">
        <f t="shared" si="10"/>
        <v>69</v>
      </c>
      <c r="K32" s="74">
        <f t="shared" si="10"/>
        <v>69</v>
      </c>
      <c r="L32" s="75">
        <f t="shared" si="10"/>
        <v>69</v>
      </c>
      <c r="M32" s="49"/>
      <c r="N32" s="49"/>
      <c r="O32" s="49"/>
      <c r="P32" s="49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1.25">
      <c r="A33" s="6" t="s">
        <v>10</v>
      </c>
      <c r="B33" s="6">
        <v>3</v>
      </c>
      <c r="C33" s="73">
        <f>35*((10+(1*C24)+(0*C25))/(10+(1*25)+(0*10)))</f>
        <v>25</v>
      </c>
      <c r="D33" s="74">
        <f aca="true" t="shared" si="11" ref="D33:L33">35*((10+(1*D24)+(0*D25))/(10+(1*25)+(0*10)))</f>
        <v>25</v>
      </c>
      <c r="E33" s="74">
        <f t="shared" si="11"/>
        <v>25</v>
      </c>
      <c r="F33" s="74">
        <f t="shared" si="11"/>
        <v>25</v>
      </c>
      <c r="G33" s="74">
        <f t="shared" si="11"/>
        <v>25</v>
      </c>
      <c r="H33" s="73">
        <f t="shared" si="11"/>
        <v>25</v>
      </c>
      <c r="I33" s="74">
        <f t="shared" si="11"/>
        <v>25</v>
      </c>
      <c r="J33" s="74">
        <f t="shared" si="11"/>
        <v>25</v>
      </c>
      <c r="K33" s="74">
        <f t="shared" si="11"/>
        <v>25</v>
      </c>
      <c r="L33" s="75">
        <f t="shared" si="11"/>
        <v>25</v>
      </c>
      <c r="M33" s="49"/>
      <c r="N33" s="49"/>
      <c r="O33" s="49"/>
      <c r="P33" s="49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1.25">
      <c r="A34" s="6" t="s">
        <v>11</v>
      </c>
      <c r="B34" s="6">
        <v>20</v>
      </c>
      <c r="C34" s="73">
        <f>140*((50+(3*C24)+(1.5*C25))/(50+(3*25)+(1.5*10)))</f>
        <v>101</v>
      </c>
      <c r="D34" s="74">
        <f aca="true" t="shared" si="12" ref="D34:L34">140*((50+(3*D24)+(1.5*D25))/(50+(3*25)+(1.5*10)))</f>
        <v>101</v>
      </c>
      <c r="E34" s="74">
        <f t="shared" si="12"/>
        <v>101</v>
      </c>
      <c r="F34" s="74">
        <f t="shared" si="12"/>
        <v>101</v>
      </c>
      <c r="G34" s="74">
        <f t="shared" si="12"/>
        <v>101</v>
      </c>
      <c r="H34" s="73">
        <f t="shared" si="12"/>
        <v>101</v>
      </c>
      <c r="I34" s="74">
        <f t="shared" si="12"/>
        <v>101</v>
      </c>
      <c r="J34" s="74">
        <f t="shared" si="12"/>
        <v>101</v>
      </c>
      <c r="K34" s="74">
        <f t="shared" si="12"/>
        <v>101</v>
      </c>
      <c r="L34" s="75">
        <f t="shared" si="12"/>
        <v>101</v>
      </c>
      <c r="M34" s="49"/>
      <c r="N34" s="49"/>
      <c r="O34" s="49"/>
      <c r="P34" s="49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1.25">
      <c r="A35" s="6" t="s">
        <v>12</v>
      </c>
      <c r="B35" s="6">
        <v>0.1</v>
      </c>
      <c r="C35" s="73">
        <v>0.3</v>
      </c>
      <c r="D35" s="74">
        <v>0.3</v>
      </c>
      <c r="E35" s="74">
        <v>0.3</v>
      </c>
      <c r="F35" s="74">
        <v>0.3</v>
      </c>
      <c r="G35" s="74">
        <v>0.3</v>
      </c>
      <c r="H35" s="73">
        <v>0.3</v>
      </c>
      <c r="I35" s="74">
        <v>0.3</v>
      </c>
      <c r="J35" s="74">
        <v>0.3</v>
      </c>
      <c r="K35" s="74">
        <v>0.3</v>
      </c>
      <c r="L35" s="75">
        <v>0.3</v>
      </c>
      <c r="M35" s="34"/>
      <c r="N35" s="34"/>
      <c r="O35" s="34"/>
      <c r="P35" s="3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1.25">
      <c r="A36" s="6" t="s">
        <v>13</v>
      </c>
      <c r="B36" s="6">
        <v>0.1</v>
      </c>
      <c r="C36" s="73">
        <f>IF(C25&lt;10.00001,1,1*C25/10)</f>
        <v>1</v>
      </c>
      <c r="D36" s="74">
        <f aca="true" t="shared" si="13" ref="D36:L36">IF(D25&lt;10.00001,1,1*D25/10)</f>
        <v>1</v>
      </c>
      <c r="E36" s="74">
        <f t="shared" si="13"/>
        <v>1</v>
      </c>
      <c r="F36" s="74">
        <f t="shared" si="13"/>
        <v>1</v>
      </c>
      <c r="G36" s="74">
        <f t="shared" si="13"/>
        <v>1</v>
      </c>
      <c r="H36" s="73">
        <f t="shared" si="13"/>
        <v>1</v>
      </c>
      <c r="I36" s="74">
        <f t="shared" si="13"/>
        <v>1</v>
      </c>
      <c r="J36" s="74">
        <f t="shared" si="13"/>
        <v>1</v>
      </c>
      <c r="K36" s="74">
        <f t="shared" si="13"/>
        <v>1</v>
      </c>
      <c r="L36" s="75">
        <f t="shared" si="13"/>
        <v>1</v>
      </c>
      <c r="M36" s="49"/>
      <c r="N36" s="49"/>
      <c r="O36" s="49"/>
      <c r="P36" s="4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10" customFormat="1" ht="11.25">
      <c r="A37" s="10" t="s">
        <v>14</v>
      </c>
      <c r="B37" s="10">
        <v>20</v>
      </c>
      <c r="C37" s="76">
        <f>IF(C23=20,20,50*C25/10)</f>
        <v>20</v>
      </c>
      <c r="D37" s="77">
        <f aca="true" t="shared" si="14" ref="D37:L37">IF(D23=20,20,50*D25/10)</f>
        <v>20</v>
      </c>
      <c r="E37" s="77">
        <f t="shared" si="14"/>
        <v>20</v>
      </c>
      <c r="F37" s="77">
        <f t="shared" si="14"/>
        <v>20</v>
      </c>
      <c r="G37" s="78">
        <f t="shared" si="14"/>
        <v>20</v>
      </c>
      <c r="H37" s="77">
        <f t="shared" si="14"/>
        <v>20</v>
      </c>
      <c r="I37" s="77">
        <f t="shared" si="14"/>
        <v>20</v>
      </c>
      <c r="J37" s="77">
        <f t="shared" si="14"/>
        <v>20</v>
      </c>
      <c r="K37" s="77">
        <f t="shared" si="14"/>
        <v>20</v>
      </c>
      <c r="L37" s="78">
        <f t="shared" si="14"/>
        <v>20</v>
      </c>
      <c r="M37" s="49"/>
      <c r="N37" s="49"/>
      <c r="O37" s="49"/>
      <c r="P37" s="49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3:34" s="8" customFormat="1" ht="11.25">
      <c r="C38" s="9"/>
      <c r="D38" s="9"/>
      <c r="E38" s="9"/>
      <c r="F38" s="9"/>
      <c r="G38" s="9"/>
      <c r="H38" s="9"/>
      <c r="I38" s="9"/>
      <c r="J38" s="9"/>
      <c r="K38" s="9"/>
      <c r="L38" s="9"/>
      <c r="M38" s="34"/>
      <c r="N38" s="34"/>
      <c r="O38" s="34"/>
      <c r="P38" s="3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8" customFormat="1" ht="11.25">
      <c r="A39" s="8" t="s">
        <v>80</v>
      </c>
      <c r="C39" s="16" t="str">
        <f>IF(C26&lt;2,2,C26)</f>
        <v>Bsb-1</v>
      </c>
      <c r="D39" s="16" t="str">
        <f aca="true" t="shared" si="15" ref="D39:L39">IF(D26&lt;2,2,D26)</f>
        <v>Bsb-1</v>
      </c>
      <c r="E39" s="16" t="str">
        <f t="shared" si="15"/>
        <v>Bsb-1</v>
      </c>
      <c r="F39" s="16" t="str">
        <f t="shared" si="15"/>
        <v>Bsb-1</v>
      </c>
      <c r="G39" s="16" t="str">
        <f t="shared" si="15"/>
        <v>Bsb-1</v>
      </c>
      <c r="H39" s="16" t="str">
        <f t="shared" si="15"/>
        <v>Bsb-1</v>
      </c>
      <c r="I39" s="16" t="str">
        <f t="shared" si="15"/>
        <v>Bsb-1</v>
      </c>
      <c r="J39" s="16" t="str">
        <f t="shared" si="15"/>
        <v>Bsb-1</v>
      </c>
      <c r="K39" s="16" t="str">
        <f t="shared" si="15"/>
        <v>Bsb-1</v>
      </c>
      <c r="L39" s="16" t="str">
        <f t="shared" si="15"/>
        <v>Bsb-1</v>
      </c>
      <c r="M39" s="34"/>
      <c r="N39" s="34"/>
      <c r="O39" s="34"/>
      <c r="P39" s="3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8" customFormat="1" ht="11.25">
      <c r="A40" s="10"/>
      <c r="B40" s="83" t="s">
        <v>34</v>
      </c>
      <c r="C40" s="11" t="s">
        <v>15</v>
      </c>
      <c r="D40" s="11" t="s">
        <v>15</v>
      </c>
      <c r="E40" s="11" t="s">
        <v>15</v>
      </c>
      <c r="F40" s="11" t="s">
        <v>15</v>
      </c>
      <c r="G40" s="41" t="s">
        <v>15</v>
      </c>
      <c r="H40" s="11" t="s">
        <v>15</v>
      </c>
      <c r="I40" s="11" t="s">
        <v>15</v>
      </c>
      <c r="J40" s="11" t="s">
        <v>15</v>
      </c>
      <c r="K40" s="11" t="s">
        <v>15</v>
      </c>
      <c r="L40" s="41" t="s">
        <v>15</v>
      </c>
      <c r="M40" s="34"/>
      <c r="N40" s="34"/>
      <c r="O40" s="34"/>
      <c r="P40" s="3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8" customFormat="1" ht="11.25">
      <c r="A41" s="6" t="s">
        <v>0</v>
      </c>
      <c r="B41" s="84">
        <v>4</v>
      </c>
      <c r="C41" s="43">
        <f>C27*1.5</f>
        <v>33.900000000000006</v>
      </c>
      <c r="D41" s="43">
        <f aca="true" t="shared" si="16" ref="D41:L41">D27*1.5</f>
        <v>33.900000000000006</v>
      </c>
      <c r="E41" s="43">
        <f t="shared" si="16"/>
        <v>33.900000000000006</v>
      </c>
      <c r="F41" s="43">
        <f t="shared" si="16"/>
        <v>33.900000000000006</v>
      </c>
      <c r="G41" s="75">
        <f t="shared" si="16"/>
        <v>33.900000000000006</v>
      </c>
      <c r="H41" s="43">
        <f t="shared" si="16"/>
        <v>33.900000000000006</v>
      </c>
      <c r="I41" s="43">
        <f t="shared" si="16"/>
        <v>33.900000000000006</v>
      </c>
      <c r="J41" s="43">
        <f t="shared" si="16"/>
        <v>33.900000000000006</v>
      </c>
      <c r="K41" s="43">
        <f t="shared" si="16"/>
        <v>33.900000000000006</v>
      </c>
      <c r="L41" s="75">
        <f t="shared" si="16"/>
        <v>33.900000000000006</v>
      </c>
      <c r="M41" s="34"/>
      <c r="N41" s="34"/>
      <c r="O41" s="34"/>
      <c r="P41" s="3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8" customFormat="1" ht="11.25">
      <c r="A42" s="6" t="s">
        <v>5</v>
      </c>
      <c r="B42" s="84">
        <v>0.4</v>
      </c>
      <c r="C42" s="43">
        <f aca="true" t="shared" si="17" ref="C42:L42">C28*1.5</f>
        <v>0.9003821656050954</v>
      </c>
      <c r="D42" s="43">
        <f t="shared" si="17"/>
        <v>0.9003821656050954</v>
      </c>
      <c r="E42" s="43">
        <f t="shared" si="17"/>
        <v>0.9003821656050954</v>
      </c>
      <c r="F42" s="43">
        <f t="shared" si="17"/>
        <v>0.9003821656050954</v>
      </c>
      <c r="G42" s="75">
        <f t="shared" si="17"/>
        <v>0.9003821656050954</v>
      </c>
      <c r="H42" s="43">
        <f t="shared" si="17"/>
        <v>0.9003821656050954</v>
      </c>
      <c r="I42" s="43">
        <f t="shared" si="17"/>
        <v>0.9003821656050954</v>
      </c>
      <c r="J42" s="43">
        <f t="shared" si="17"/>
        <v>0.9003821656050954</v>
      </c>
      <c r="K42" s="43">
        <f t="shared" si="17"/>
        <v>0.9003821656050954</v>
      </c>
      <c r="L42" s="75">
        <f t="shared" si="17"/>
        <v>0.9003821656050954</v>
      </c>
      <c r="M42" s="34"/>
      <c r="N42" s="34"/>
      <c r="O42" s="34"/>
      <c r="P42" s="3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8" customFormat="1" ht="11.25">
      <c r="A43" s="6" t="s">
        <v>6</v>
      </c>
      <c r="B43" s="84">
        <v>15</v>
      </c>
      <c r="C43" s="43">
        <f aca="true" t="shared" si="18" ref="C43:L43">C29*1.5</f>
        <v>120</v>
      </c>
      <c r="D43" s="43">
        <f t="shared" si="18"/>
        <v>120</v>
      </c>
      <c r="E43" s="43">
        <f t="shared" si="18"/>
        <v>120</v>
      </c>
      <c r="F43" s="43">
        <f t="shared" si="18"/>
        <v>120</v>
      </c>
      <c r="G43" s="75">
        <f t="shared" si="18"/>
        <v>120</v>
      </c>
      <c r="H43" s="43">
        <f t="shared" si="18"/>
        <v>120</v>
      </c>
      <c r="I43" s="43">
        <f t="shared" si="18"/>
        <v>120</v>
      </c>
      <c r="J43" s="43">
        <f t="shared" si="18"/>
        <v>120</v>
      </c>
      <c r="K43" s="43">
        <f t="shared" si="18"/>
        <v>120</v>
      </c>
      <c r="L43" s="75">
        <f t="shared" si="18"/>
        <v>120</v>
      </c>
      <c r="M43" s="34"/>
      <c r="N43" s="34"/>
      <c r="O43" s="34"/>
      <c r="P43" s="34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8" customFormat="1" ht="11.25">
      <c r="A44" s="6" t="s">
        <v>7</v>
      </c>
      <c r="B44" s="84">
        <v>5</v>
      </c>
      <c r="C44" s="43">
        <f aca="true" t="shared" si="19" ref="C44:L44">C30*1.5</f>
        <v>39.599999999999994</v>
      </c>
      <c r="D44" s="43">
        <f t="shared" si="19"/>
        <v>39.599999999999994</v>
      </c>
      <c r="E44" s="43">
        <f t="shared" si="19"/>
        <v>39.599999999999994</v>
      </c>
      <c r="F44" s="43">
        <f t="shared" si="19"/>
        <v>39.599999999999994</v>
      </c>
      <c r="G44" s="75">
        <f t="shared" si="19"/>
        <v>39.599999999999994</v>
      </c>
      <c r="H44" s="43">
        <f t="shared" si="19"/>
        <v>39.599999999999994</v>
      </c>
      <c r="I44" s="43">
        <f t="shared" si="19"/>
        <v>39.599999999999994</v>
      </c>
      <c r="J44" s="43">
        <f t="shared" si="19"/>
        <v>39.599999999999994</v>
      </c>
      <c r="K44" s="43">
        <f t="shared" si="19"/>
        <v>39.599999999999994</v>
      </c>
      <c r="L44" s="75">
        <f t="shared" si="19"/>
        <v>39.599999999999994</v>
      </c>
      <c r="M44" s="34"/>
      <c r="N44" s="34"/>
      <c r="O44" s="34"/>
      <c r="P44" s="3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8" customFormat="1" ht="11.25">
      <c r="A45" s="6" t="s">
        <v>8</v>
      </c>
      <c r="B45" s="84">
        <v>0.05</v>
      </c>
      <c r="C45" s="43">
        <f aca="true" t="shared" si="20" ref="C45:L45">C31*1.5</f>
        <v>0.384139072847682</v>
      </c>
      <c r="D45" s="43">
        <f t="shared" si="20"/>
        <v>0.384139072847682</v>
      </c>
      <c r="E45" s="43">
        <f t="shared" si="20"/>
        <v>0.384139072847682</v>
      </c>
      <c r="F45" s="43">
        <f t="shared" si="20"/>
        <v>0.384139072847682</v>
      </c>
      <c r="G45" s="75">
        <f t="shared" si="20"/>
        <v>0.384139072847682</v>
      </c>
      <c r="H45" s="43">
        <f t="shared" si="20"/>
        <v>0.384139072847682</v>
      </c>
      <c r="I45" s="43">
        <f t="shared" si="20"/>
        <v>0.384139072847682</v>
      </c>
      <c r="J45" s="43">
        <f t="shared" si="20"/>
        <v>0.384139072847682</v>
      </c>
      <c r="K45" s="43">
        <f t="shared" si="20"/>
        <v>0.384139072847682</v>
      </c>
      <c r="L45" s="75">
        <f t="shared" si="20"/>
        <v>0.384139072847682</v>
      </c>
      <c r="M45" s="34"/>
      <c r="N45" s="34"/>
      <c r="O45" s="34"/>
      <c r="P45" s="3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8" customFormat="1" ht="11.25">
      <c r="A46" s="6" t="s">
        <v>9</v>
      </c>
      <c r="B46" s="84">
        <v>13</v>
      </c>
      <c r="C46" s="43">
        <f aca="true" t="shared" si="21" ref="C46:L46">C32*1.5</f>
        <v>103.5</v>
      </c>
      <c r="D46" s="43">
        <f t="shared" si="21"/>
        <v>103.5</v>
      </c>
      <c r="E46" s="43">
        <f t="shared" si="21"/>
        <v>103.5</v>
      </c>
      <c r="F46" s="43">
        <f t="shared" si="21"/>
        <v>103.5</v>
      </c>
      <c r="G46" s="75">
        <f t="shared" si="21"/>
        <v>103.5</v>
      </c>
      <c r="H46" s="43">
        <f t="shared" si="21"/>
        <v>103.5</v>
      </c>
      <c r="I46" s="43">
        <f t="shared" si="21"/>
        <v>103.5</v>
      </c>
      <c r="J46" s="43">
        <f t="shared" si="21"/>
        <v>103.5</v>
      </c>
      <c r="K46" s="43">
        <f t="shared" si="21"/>
        <v>103.5</v>
      </c>
      <c r="L46" s="75">
        <f t="shared" si="21"/>
        <v>103.5</v>
      </c>
      <c r="M46" s="34"/>
      <c r="N46" s="34"/>
      <c r="O46" s="34"/>
      <c r="P46" s="3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8" customFormat="1" ht="11.25">
      <c r="A47" s="6" t="s">
        <v>10</v>
      </c>
      <c r="B47" s="84">
        <v>3</v>
      </c>
      <c r="C47" s="43">
        <f aca="true" t="shared" si="22" ref="C47:L47">C33*1.5</f>
        <v>37.5</v>
      </c>
      <c r="D47" s="43">
        <f t="shared" si="22"/>
        <v>37.5</v>
      </c>
      <c r="E47" s="43">
        <f t="shared" si="22"/>
        <v>37.5</v>
      </c>
      <c r="F47" s="43">
        <f t="shared" si="22"/>
        <v>37.5</v>
      </c>
      <c r="G47" s="75">
        <f t="shared" si="22"/>
        <v>37.5</v>
      </c>
      <c r="H47" s="43">
        <f t="shared" si="22"/>
        <v>37.5</v>
      </c>
      <c r="I47" s="43">
        <f t="shared" si="22"/>
        <v>37.5</v>
      </c>
      <c r="J47" s="43">
        <f t="shared" si="22"/>
        <v>37.5</v>
      </c>
      <c r="K47" s="43">
        <f t="shared" si="22"/>
        <v>37.5</v>
      </c>
      <c r="L47" s="75">
        <f t="shared" si="22"/>
        <v>37.5</v>
      </c>
      <c r="M47" s="34"/>
      <c r="N47" s="34"/>
      <c r="O47" s="34"/>
      <c r="P47" s="3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8" customFormat="1" ht="11.25">
      <c r="A48" s="6" t="s">
        <v>11</v>
      </c>
      <c r="B48" s="84">
        <v>20</v>
      </c>
      <c r="C48" s="43">
        <f aca="true" t="shared" si="23" ref="C48:L48">C34*1.5</f>
        <v>151.5</v>
      </c>
      <c r="D48" s="43">
        <f t="shared" si="23"/>
        <v>151.5</v>
      </c>
      <c r="E48" s="43">
        <f t="shared" si="23"/>
        <v>151.5</v>
      </c>
      <c r="F48" s="43">
        <f t="shared" si="23"/>
        <v>151.5</v>
      </c>
      <c r="G48" s="75">
        <f t="shared" si="23"/>
        <v>151.5</v>
      </c>
      <c r="H48" s="43">
        <f t="shared" si="23"/>
        <v>151.5</v>
      </c>
      <c r="I48" s="43">
        <f t="shared" si="23"/>
        <v>151.5</v>
      </c>
      <c r="J48" s="43">
        <f t="shared" si="23"/>
        <v>151.5</v>
      </c>
      <c r="K48" s="43">
        <f t="shared" si="23"/>
        <v>151.5</v>
      </c>
      <c r="L48" s="75">
        <f t="shared" si="23"/>
        <v>151.5</v>
      </c>
      <c r="M48" s="34"/>
      <c r="N48" s="34"/>
      <c r="O48" s="34"/>
      <c r="P48" s="3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8" customFormat="1" ht="11.25">
      <c r="A49" s="6" t="s">
        <v>12</v>
      </c>
      <c r="B49" s="84">
        <v>0.1</v>
      </c>
      <c r="C49" s="43">
        <f aca="true" t="shared" si="24" ref="C49:L49">C35*1.5</f>
        <v>0.44999999999999996</v>
      </c>
      <c r="D49" s="43">
        <f t="shared" si="24"/>
        <v>0.44999999999999996</v>
      </c>
      <c r="E49" s="43">
        <f t="shared" si="24"/>
        <v>0.44999999999999996</v>
      </c>
      <c r="F49" s="43">
        <f t="shared" si="24"/>
        <v>0.44999999999999996</v>
      </c>
      <c r="G49" s="75">
        <f t="shared" si="24"/>
        <v>0.44999999999999996</v>
      </c>
      <c r="H49" s="43">
        <f t="shared" si="24"/>
        <v>0.44999999999999996</v>
      </c>
      <c r="I49" s="43">
        <f t="shared" si="24"/>
        <v>0.44999999999999996</v>
      </c>
      <c r="J49" s="43">
        <f t="shared" si="24"/>
        <v>0.44999999999999996</v>
      </c>
      <c r="K49" s="43">
        <f t="shared" si="24"/>
        <v>0.44999999999999996</v>
      </c>
      <c r="L49" s="75">
        <f t="shared" si="24"/>
        <v>0.44999999999999996</v>
      </c>
      <c r="M49" s="34"/>
      <c r="N49" s="34"/>
      <c r="O49" s="34"/>
      <c r="P49" s="3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8" customFormat="1" ht="11.25">
      <c r="A50" s="6" t="s">
        <v>13</v>
      </c>
      <c r="B50" s="84">
        <v>0.1</v>
      </c>
      <c r="C50" s="43">
        <f aca="true" t="shared" si="25" ref="C50:L50">C36*1.5</f>
        <v>1.5</v>
      </c>
      <c r="D50" s="43">
        <f t="shared" si="25"/>
        <v>1.5</v>
      </c>
      <c r="E50" s="43">
        <f t="shared" si="25"/>
        <v>1.5</v>
      </c>
      <c r="F50" s="43">
        <f t="shared" si="25"/>
        <v>1.5</v>
      </c>
      <c r="G50" s="75">
        <f t="shared" si="25"/>
        <v>1.5</v>
      </c>
      <c r="H50" s="43">
        <f t="shared" si="25"/>
        <v>1.5</v>
      </c>
      <c r="I50" s="43">
        <f t="shared" si="25"/>
        <v>1.5</v>
      </c>
      <c r="J50" s="43">
        <f t="shared" si="25"/>
        <v>1.5</v>
      </c>
      <c r="K50" s="43">
        <f t="shared" si="25"/>
        <v>1.5</v>
      </c>
      <c r="L50" s="75">
        <f t="shared" si="25"/>
        <v>1.5</v>
      </c>
      <c r="M50" s="34"/>
      <c r="N50" s="34"/>
      <c r="O50" s="34"/>
      <c r="P50" s="3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8" customFormat="1" ht="11.25">
      <c r="A51" s="10" t="s">
        <v>14</v>
      </c>
      <c r="B51" s="83">
        <v>20</v>
      </c>
      <c r="C51" s="77">
        <f aca="true" t="shared" si="26" ref="C51:L51">C37*1.5</f>
        <v>30</v>
      </c>
      <c r="D51" s="77">
        <f t="shared" si="26"/>
        <v>30</v>
      </c>
      <c r="E51" s="77">
        <f t="shared" si="26"/>
        <v>30</v>
      </c>
      <c r="F51" s="77">
        <f t="shared" si="26"/>
        <v>30</v>
      </c>
      <c r="G51" s="78">
        <f t="shared" si="26"/>
        <v>30</v>
      </c>
      <c r="H51" s="77">
        <f t="shared" si="26"/>
        <v>30</v>
      </c>
      <c r="I51" s="77">
        <f t="shared" si="26"/>
        <v>30</v>
      </c>
      <c r="J51" s="77">
        <f t="shared" si="26"/>
        <v>30</v>
      </c>
      <c r="K51" s="77">
        <f t="shared" si="26"/>
        <v>30</v>
      </c>
      <c r="L51" s="78">
        <f t="shared" si="26"/>
        <v>30</v>
      </c>
      <c r="M51" s="34"/>
      <c r="N51" s="34"/>
      <c r="O51" s="34"/>
      <c r="P51" s="3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3:34" s="8" customFormat="1" ht="11.25">
      <c r="C52" s="9"/>
      <c r="D52" s="9"/>
      <c r="E52" s="9"/>
      <c r="F52" s="9"/>
      <c r="G52" s="9"/>
      <c r="H52" s="9"/>
      <c r="I52" s="9"/>
      <c r="J52" s="9"/>
      <c r="K52" s="9"/>
      <c r="L52" s="9"/>
      <c r="M52" s="34"/>
      <c r="N52" s="34"/>
      <c r="O52" s="34"/>
      <c r="P52" s="3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3:34" s="8" customFormat="1" ht="11.25">
      <c r="C53" s="9"/>
      <c r="D53" s="9"/>
      <c r="E53" s="9"/>
      <c r="F53" s="9"/>
      <c r="G53" s="9"/>
      <c r="H53" s="9"/>
      <c r="I53" s="9"/>
      <c r="J53" s="9"/>
      <c r="K53" s="9"/>
      <c r="L53" s="9"/>
      <c r="M53" s="34"/>
      <c r="N53" s="34"/>
      <c r="O53" s="34"/>
      <c r="P53" s="34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3:34" s="8" customFormat="1" ht="11.25">
      <c r="C54" s="9"/>
      <c r="D54" s="9"/>
      <c r="E54" s="9"/>
      <c r="F54" s="9"/>
      <c r="G54" s="9"/>
      <c r="H54" s="9"/>
      <c r="I54" s="9"/>
      <c r="J54" s="9"/>
      <c r="K54" s="9"/>
      <c r="L54" s="9"/>
      <c r="M54" s="34"/>
      <c r="N54" s="34"/>
      <c r="O54" s="34"/>
      <c r="P54" s="34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8" customFormat="1" ht="11.25">
      <c r="A55" s="87" t="s">
        <v>83</v>
      </c>
      <c r="B55" s="88"/>
      <c r="C55" s="97" t="s">
        <v>81</v>
      </c>
      <c r="D55" s="98"/>
      <c r="E55" s="98"/>
      <c r="F55" s="98"/>
      <c r="G55" s="99"/>
      <c r="H55" s="97" t="s">
        <v>82</v>
      </c>
      <c r="I55" s="98"/>
      <c r="J55" s="98"/>
      <c r="K55" s="98"/>
      <c r="L55" s="99"/>
      <c r="M55" s="34"/>
      <c r="N55" s="34"/>
      <c r="O55" s="34"/>
      <c r="P55" s="34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8" customFormat="1" ht="11.25">
      <c r="A56" s="6" t="s">
        <v>0</v>
      </c>
      <c r="B56" s="85"/>
      <c r="C56" s="9" t="str">
        <f>IF(C13&lt;C27,"Xi&lt;T",IF(C13&lt;C41,"Xi&lt;1,5*T","Xi&gt;1,5*T"))</f>
        <v>Xi&lt;T</v>
      </c>
      <c r="D56" s="9" t="str">
        <f aca="true" t="shared" si="27" ref="D56:L56">IF(D13&lt;D27,"Xi&lt;T",IF(D13&lt;D41,"Xi&lt;1,5*T","Xi&gt;1,5*T"))</f>
        <v>Xi&lt;T</v>
      </c>
      <c r="E56" s="9" t="str">
        <f t="shared" si="27"/>
        <v>Xi&lt;T</v>
      </c>
      <c r="F56" s="9" t="str">
        <f t="shared" si="27"/>
        <v>Xi&lt;T</v>
      </c>
      <c r="G56" s="86" t="str">
        <f t="shared" si="27"/>
        <v>Xi&lt;T</v>
      </c>
      <c r="H56" s="9" t="str">
        <f t="shared" si="27"/>
        <v>Xi&lt;T</v>
      </c>
      <c r="I56" s="9" t="str">
        <f t="shared" si="27"/>
        <v>Xi&lt;T</v>
      </c>
      <c r="J56" s="9" t="str">
        <f t="shared" si="27"/>
        <v>Xi&lt;T</v>
      </c>
      <c r="K56" s="9" t="str">
        <f t="shared" si="27"/>
        <v>Xi&lt;T</v>
      </c>
      <c r="L56" s="86" t="str">
        <f t="shared" si="27"/>
        <v>Xi&lt;T</v>
      </c>
      <c r="M56" s="46">
        <f>IF(C56="Xi&lt;T",1,IF(C56="Xi&lt;1,5*T",2,10))</f>
        <v>1</v>
      </c>
      <c r="N56" s="46">
        <f aca="true" t="shared" si="28" ref="N56:N66">IF(D56="Xi&lt;T",1,IF(D56="Xi&lt;1,5*T",2,3))</f>
        <v>1</v>
      </c>
      <c r="O56" s="46">
        <f aca="true" t="shared" si="29" ref="O56:O66">IF(E56="Xi&lt;T",1,IF(E56="Xi&lt;1,5*T",2,3))</f>
        <v>1</v>
      </c>
      <c r="P56" s="46">
        <f aca="true" t="shared" si="30" ref="P56:P66">IF(F56="Xi&lt;T",1,IF(F56="Xi&lt;1,5*T",2,3))</f>
        <v>1</v>
      </c>
      <c r="Q56" s="46">
        <f aca="true" t="shared" si="31" ref="Q56:Q66">IF(G56="Xi&lt;T",1,IF(G56="Xi&lt;1,5*T",2,3))</f>
        <v>1</v>
      </c>
      <c r="R56" s="46">
        <f aca="true" t="shared" si="32" ref="R56:R66">IF(H56="Xi&lt;T",1,IF(H56="Xi&lt;1,5*T",2,3))</f>
        <v>1</v>
      </c>
      <c r="S56" s="46">
        <f aca="true" t="shared" si="33" ref="S56:S66">IF(I56="Xi&lt;T",1,IF(I56="Xi&lt;1,5*T",2,3))</f>
        <v>1</v>
      </c>
      <c r="T56" s="46">
        <f aca="true" t="shared" si="34" ref="T56:T66">IF(J56="Xi&lt;T",1,IF(J56="Xi&lt;1,5*T",2,3))</f>
        <v>1</v>
      </c>
      <c r="U56" s="46">
        <f aca="true" t="shared" si="35" ref="U56:U66">IF(K56="Xi&lt;T",1,IF(K56="Xi&lt;1,5*T",2,3))</f>
        <v>1</v>
      </c>
      <c r="V56" s="46">
        <f aca="true" t="shared" si="36" ref="V56:V66">IF(L56="Xi&lt;T",1,IF(L56="Xi&lt;1,5*T",2,3))</f>
        <v>1</v>
      </c>
      <c r="W56" s="9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8" customFormat="1" ht="11.25">
      <c r="A57" s="6" t="s">
        <v>5</v>
      </c>
      <c r="B57" s="84"/>
      <c r="C57" s="9" t="str">
        <f aca="true" t="shared" si="37" ref="C57:L57">IF(C14&lt;C28,"Xi&lt;T",IF(C14&lt;C42,"Xi&lt;1,5*T","Xi&gt;1,5*T"))</f>
        <v>Xi&lt;T</v>
      </c>
      <c r="D57" s="9" t="str">
        <f t="shared" si="37"/>
        <v>Xi&lt;T</v>
      </c>
      <c r="E57" s="9" t="str">
        <f t="shared" si="37"/>
        <v>Xi&lt;T</v>
      </c>
      <c r="F57" s="9" t="str">
        <f t="shared" si="37"/>
        <v>Xi&lt;T</v>
      </c>
      <c r="G57" s="47" t="str">
        <f t="shared" si="37"/>
        <v>Xi&lt;T</v>
      </c>
      <c r="H57" s="9" t="str">
        <f t="shared" si="37"/>
        <v>Xi&lt;T</v>
      </c>
      <c r="I57" s="9" t="str">
        <f t="shared" si="37"/>
        <v>Xi&lt;T</v>
      </c>
      <c r="J57" s="9" t="str">
        <f t="shared" si="37"/>
        <v>Xi&lt;1,5*T</v>
      </c>
      <c r="K57" s="9" t="str">
        <f t="shared" si="37"/>
        <v>Xi&lt;T</v>
      </c>
      <c r="L57" s="47" t="str">
        <f t="shared" si="37"/>
        <v>Xi&lt;T</v>
      </c>
      <c r="M57" s="46">
        <f aca="true" t="shared" si="38" ref="M57:M66">IF(C57="Xi&lt;T",1,IF(C57="Xi&lt;1,5*T",2,3))</f>
        <v>1</v>
      </c>
      <c r="N57" s="46">
        <f t="shared" si="28"/>
        <v>1</v>
      </c>
      <c r="O57" s="46">
        <f t="shared" si="29"/>
        <v>1</v>
      </c>
      <c r="P57" s="46">
        <f t="shared" si="30"/>
        <v>1</v>
      </c>
      <c r="Q57" s="46">
        <f t="shared" si="31"/>
        <v>1</v>
      </c>
      <c r="R57" s="46">
        <f t="shared" si="32"/>
        <v>1</v>
      </c>
      <c r="S57" s="46">
        <f t="shared" si="33"/>
        <v>1</v>
      </c>
      <c r="T57" s="46">
        <f t="shared" si="34"/>
        <v>2</v>
      </c>
      <c r="U57" s="46">
        <f t="shared" si="35"/>
        <v>1</v>
      </c>
      <c r="V57" s="46">
        <f t="shared" si="36"/>
        <v>1</v>
      </c>
      <c r="W57" s="90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8" customFormat="1" ht="11.25">
      <c r="A58" s="6" t="s">
        <v>6</v>
      </c>
      <c r="B58" s="84"/>
      <c r="C58" s="9" t="str">
        <f aca="true" t="shared" si="39" ref="C58:L58">IF(C15&lt;C29,"Xi&lt;T",IF(C15&lt;C43,"Xi&lt;1,5*T","Xi&gt;1,5*T"))</f>
        <v>Xi&lt;T</v>
      </c>
      <c r="D58" s="9" t="str">
        <f t="shared" si="39"/>
        <v>Xi&lt;T</v>
      </c>
      <c r="E58" s="9" t="str">
        <f t="shared" si="39"/>
        <v>Xi&lt;T</v>
      </c>
      <c r="F58" s="9" t="str">
        <f t="shared" si="39"/>
        <v>Xi&lt;T</v>
      </c>
      <c r="G58" s="47" t="str">
        <f t="shared" si="39"/>
        <v>Xi&lt;T</v>
      </c>
      <c r="H58" s="9" t="str">
        <f t="shared" si="39"/>
        <v>Xi&lt;T</v>
      </c>
      <c r="I58" s="9" t="str">
        <f t="shared" si="39"/>
        <v>Xi&lt;T</v>
      </c>
      <c r="J58" s="9" t="str">
        <f t="shared" si="39"/>
        <v>Xi&lt;T</v>
      </c>
      <c r="K58" s="9" t="str">
        <f t="shared" si="39"/>
        <v>Xi&lt;T</v>
      </c>
      <c r="L58" s="47" t="str">
        <f t="shared" si="39"/>
        <v>Xi&lt;T</v>
      </c>
      <c r="M58" s="46">
        <f t="shared" si="38"/>
        <v>1</v>
      </c>
      <c r="N58" s="46">
        <f t="shared" si="28"/>
        <v>1</v>
      </c>
      <c r="O58" s="46">
        <f t="shared" si="29"/>
        <v>1</v>
      </c>
      <c r="P58" s="46">
        <f t="shared" si="30"/>
        <v>1</v>
      </c>
      <c r="Q58" s="46">
        <f t="shared" si="31"/>
        <v>1</v>
      </c>
      <c r="R58" s="46">
        <f t="shared" si="32"/>
        <v>1</v>
      </c>
      <c r="S58" s="46">
        <f t="shared" si="33"/>
        <v>1</v>
      </c>
      <c r="T58" s="46">
        <f t="shared" si="34"/>
        <v>1</v>
      </c>
      <c r="U58" s="46">
        <f t="shared" si="35"/>
        <v>1</v>
      </c>
      <c r="V58" s="46">
        <f t="shared" si="36"/>
        <v>1</v>
      </c>
      <c r="W58" s="90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8" customFormat="1" ht="11.25">
      <c r="A59" s="6" t="s">
        <v>7</v>
      </c>
      <c r="B59" s="84"/>
      <c r="C59" s="9" t="str">
        <f aca="true" t="shared" si="40" ref="C59:L59">IF(C16&lt;C30,"Xi&lt;T",IF(C16&lt;C44,"Xi&lt;1,5*T","Xi&gt;1,5*T"))</f>
        <v>Xi&lt;T</v>
      </c>
      <c r="D59" s="9" t="str">
        <f t="shared" si="40"/>
        <v>Xi&lt;T</v>
      </c>
      <c r="E59" s="9" t="str">
        <f t="shared" si="40"/>
        <v>Xi&lt;T</v>
      </c>
      <c r="F59" s="9" t="str">
        <f t="shared" si="40"/>
        <v>Xi&lt;T</v>
      </c>
      <c r="G59" s="47" t="str">
        <f t="shared" si="40"/>
        <v>Xi&lt;T</v>
      </c>
      <c r="H59" s="9" t="str">
        <f t="shared" si="40"/>
        <v>Xi&lt;T</v>
      </c>
      <c r="I59" s="9" t="str">
        <f t="shared" si="40"/>
        <v>Xi&lt;T</v>
      </c>
      <c r="J59" s="9" t="str">
        <f t="shared" si="40"/>
        <v>Xi&lt;T</v>
      </c>
      <c r="K59" s="9" t="str">
        <f t="shared" si="40"/>
        <v>Xi&lt;T</v>
      </c>
      <c r="L59" s="47" t="str">
        <f t="shared" si="40"/>
        <v>Xi&lt;T</v>
      </c>
      <c r="M59" s="46">
        <f t="shared" si="38"/>
        <v>1</v>
      </c>
      <c r="N59" s="46">
        <f t="shared" si="28"/>
        <v>1</v>
      </c>
      <c r="O59" s="46">
        <f t="shared" si="29"/>
        <v>1</v>
      </c>
      <c r="P59" s="46">
        <f t="shared" si="30"/>
        <v>1</v>
      </c>
      <c r="Q59" s="46">
        <f t="shared" si="31"/>
        <v>1</v>
      </c>
      <c r="R59" s="46">
        <f t="shared" si="32"/>
        <v>1</v>
      </c>
      <c r="S59" s="46">
        <f t="shared" si="33"/>
        <v>1</v>
      </c>
      <c r="T59" s="46">
        <f t="shared" si="34"/>
        <v>1</v>
      </c>
      <c r="U59" s="46">
        <f t="shared" si="35"/>
        <v>1</v>
      </c>
      <c r="V59" s="46">
        <f t="shared" si="36"/>
        <v>1</v>
      </c>
      <c r="W59" s="90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8" customFormat="1" ht="11.25">
      <c r="A60" s="6" t="s">
        <v>8</v>
      </c>
      <c r="B60" s="84"/>
      <c r="C60" s="9" t="str">
        <f aca="true" t="shared" si="41" ref="C60:L60">IF(C17&lt;C31,"Xi&lt;T",IF(C17&lt;C45,"Xi&lt;1,5*T","Xi&gt;1,5*T"))</f>
        <v>Xi&lt;T</v>
      </c>
      <c r="D60" s="9" t="str">
        <f t="shared" si="41"/>
        <v>Xi&lt;T</v>
      </c>
      <c r="E60" s="9" t="str">
        <f t="shared" si="41"/>
        <v>Xi&lt;T</v>
      </c>
      <c r="F60" s="9" t="str">
        <f t="shared" si="41"/>
        <v>Xi&lt;T</v>
      </c>
      <c r="G60" s="47" t="str">
        <f t="shared" si="41"/>
        <v>Xi&lt;T</v>
      </c>
      <c r="H60" s="9" t="str">
        <f t="shared" si="41"/>
        <v>Xi&lt;T</v>
      </c>
      <c r="I60" s="9" t="str">
        <f t="shared" si="41"/>
        <v>Xi&lt;T</v>
      </c>
      <c r="J60" s="9" t="str">
        <f t="shared" si="41"/>
        <v>Xi&lt;T</v>
      </c>
      <c r="K60" s="9" t="str">
        <f t="shared" si="41"/>
        <v>Xi&lt;T</v>
      </c>
      <c r="L60" s="47" t="str">
        <f t="shared" si="41"/>
        <v>Xi&lt;T</v>
      </c>
      <c r="M60" s="46">
        <f t="shared" si="38"/>
        <v>1</v>
      </c>
      <c r="N60" s="46">
        <f t="shared" si="28"/>
        <v>1</v>
      </c>
      <c r="O60" s="46">
        <f t="shared" si="29"/>
        <v>1</v>
      </c>
      <c r="P60" s="46">
        <f t="shared" si="30"/>
        <v>1</v>
      </c>
      <c r="Q60" s="46">
        <f t="shared" si="31"/>
        <v>1</v>
      </c>
      <c r="R60" s="46">
        <f t="shared" si="32"/>
        <v>1</v>
      </c>
      <c r="S60" s="46">
        <f t="shared" si="33"/>
        <v>1</v>
      </c>
      <c r="T60" s="46">
        <f t="shared" si="34"/>
        <v>1</v>
      </c>
      <c r="U60" s="46">
        <f t="shared" si="35"/>
        <v>1</v>
      </c>
      <c r="V60" s="46">
        <f t="shared" si="36"/>
        <v>1</v>
      </c>
      <c r="W60" s="90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8" customFormat="1" ht="11.25">
      <c r="A61" s="6" t="s">
        <v>9</v>
      </c>
      <c r="B61" s="84"/>
      <c r="C61" s="9" t="str">
        <f aca="true" t="shared" si="42" ref="C61:L61">IF(C18&lt;C32,"Xi&lt;T",IF(C18&lt;C46,"Xi&lt;1,5*T","Xi&gt;1,5*T"))</f>
        <v>Xi&lt;T</v>
      </c>
      <c r="D61" s="9" t="str">
        <f t="shared" si="42"/>
        <v>Xi&lt;T</v>
      </c>
      <c r="E61" s="9" t="str">
        <f t="shared" si="42"/>
        <v>Xi&lt;T</v>
      </c>
      <c r="F61" s="9" t="str">
        <f t="shared" si="42"/>
        <v>Xi&lt;T</v>
      </c>
      <c r="G61" s="47" t="str">
        <f t="shared" si="42"/>
        <v>Xi&lt;T</v>
      </c>
      <c r="H61" s="9" t="str">
        <f t="shared" si="42"/>
        <v>Xi&lt;T</v>
      </c>
      <c r="I61" s="9" t="str">
        <f t="shared" si="42"/>
        <v>Xi&lt;T</v>
      </c>
      <c r="J61" s="9" t="str">
        <f t="shared" si="42"/>
        <v>Xi&lt;T</v>
      </c>
      <c r="K61" s="9" t="str">
        <f t="shared" si="42"/>
        <v>Xi&lt;T</v>
      </c>
      <c r="L61" s="47" t="str">
        <f t="shared" si="42"/>
        <v>Xi&lt;T</v>
      </c>
      <c r="M61" s="46">
        <f t="shared" si="38"/>
        <v>1</v>
      </c>
      <c r="N61" s="46">
        <f t="shared" si="28"/>
        <v>1</v>
      </c>
      <c r="O61" s="46">
        <f t="shared" si="29"/>
        <v>1</v>
      </c>
      <c r="P61" s="46">
        <f t="shared" si="30"/>
        <v>1</v>
      </c>
      <c r="Q61" s="46">
        <f t="shared" si="31"/>
        <v>1</v>
      </c>
      <c r="R61" s="46">
        <f t="shared" si="32"/>
        <v>1</v>
      </c>
      <c r="S61" s="46">
        <f t="shared" si="33"/>
        <v>1</v>
      </c>
      <c r="T61" s="46">
        <f t="shared" si="34"/>
        <v>1</v>
      </c>
      <c r="U61" s="46">
        <f t="shared" si="35"/>
        <v>1</v>
      </c>
      <c r="V61" s="46">
        <f t="shared" si="36"/>
        <v>1</v>
      </c>
      <c r="W61" s="90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8" customFormat="1" ht="11.25">
      <c r="A62" s="6" t="s">
        <v>10</v>
      </c>
      <c r="B62" s="84"/>
      <c r="C62" s="9" t="str">
        <f aca="true" t="shared" si="43" ref="C62:L62">IF(C19&lt;C33,"Xi&lt;T",IF(C19&lt;C47,"Xi&lt;1,5*T","Xi&gt;1,5*T"))</f>
        <v>Xi&lt;T</v>
      </c>
      <c r="D62" s="9" t="str">
        <f t="shared" si="43"/>
        <v>Xi&lt;T</v>
      </c>
      <c r="E62" s="9" t="str">
        <f t="shared" si="43"/>
        <v>Xi&lt;T</v>
      </c>
      <c r="F62" s="9" t="str">
        <f t="shared" si="43"/>
        <v>Xi&lt;T</v>
      </c>
      <c r="G62" s="47" t="str">
        <f t="shared" si="43"/>
        <v>Xi&lt;T</v>
      </c>
      <c r="H62" s="9" t="str">
        <f t="shared" si="43"/>
        <v>Xi&lt;T</v>
      </c>
      <c r="I62" s="9" t="str">
        <f t="shared" si="43"/>
        <v>Xi&lt;T</v>
      </c>
      <c r="J62" s="9" t="str">
        <f t="shared" si="43"/>
        <v>Xi&lt;T</v>
      </c>
      <c r="K62" s="9" t="str">
        <f t="shared" si="43"/>
        <v>Xi&lt;T</v>
      </c>
      <c r="L62" s="47" t="str">
        <f t="shared" si="43"/>
        <v>Xi&lt;T</v>
      </c>
      <c r="M62" s="46">
        <f t="shared" si="38"/>
        <v>1</v>
      </c>
      <c r="N62" s="46">
        <f t="shared" si="28"/>
        <v>1</v>
      </c>
      <c r="O62" s="46">
        <f t="shared" si="29"/>
        <v>1</v>
      </c>
      <c r="P62" s="46">
        <f t="shared" si="30"/>
        <v>1</v>
      </c>
      <c r="Q62" s="46">
        <f t="shared" si="31"/>
        <v>1</v>
      </c>
      <c r="R62" s="46">
        <f t="shared" si="32"/>
        <v>1</v>
      </c>
      <c r="S62" s="46">
        <f t="shared" si="33"/>
        <v>1</v>
      </c>
      <c r="T62" s="46">
        <f t="shared" si="34"/>
        <v>1</v>
      </c>
      <c r="U62" s="46">
        <f t="shared" si="35"/>
        <v>1</v>
      </c>
      <c r="V62" s="46">
        <f t="shared" si="36"/>
        <v>1</v>
      </c>
      <c r="W62" s="90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8" customFormat="1" ht="11.25">
      <c r="A63" s="6" t="s">
        <v>11</v>
      </c>
      <c r="B63" s="84"/>
      <c r="C63" s="9" t="str">
        <f aca="true" t="shared" si="44" ref="C63:L63">IF(C20&lt;C34,"Xi&lt;T",IF(C20&lt;C48,"Xi&lt;1,5*T","Xi&gt;1,5*T"))</f>
        <v>Xi&lt;T</v>
      </c>
      <c r="D63" s="9" t="str">
        <f t="shared" si="44"/>
        <v>Xi&lt;T</v>
      </c>
      <c r="E63" s="9" t="str">
        <f t="shared" si="44"/>
        <v>Xi&lt;T</v>
      </c>
      <c r="F63" s="9" t="str">
        <f t="shared" si="44"/>
        <v>Xi&lt;T</v>
      </c>
      <c r="G63" s="47" t="str">
        <f t="shared" si="44"/>
        <v>Xi&lt;T</v>
      </c>
      <c r="H63" s="9" t="str">
        <f t="shared" si="44"/>
        <v>Xi&lt;T</v>
      </c>
      <c r="I63" s="9" t="str">
        <f t="shared" si="44"/>
        <v>Xi&lt;T</v>
      </c>
      <c r="J63" s="9" t="str">
        <f t="shared" si="44"/>
        <v>Xi&lt;T</v>
      </c>
      <c r="K63" s="9" t="str">
        <f t="shared" si="44"/>
        <v>Xi&lt;T</v>
      </c>
      <c r="L63" s="47" t="str">
        <f t="shared" si="44"/>
        <v>Xi&lt;T</v>
      </c>
      <c r="M63" s="46">
        <f t="shared" si="38"/>
        <v>1</v>
      </c>
      <c r="N63" s="46">
        <f t="shared" si="28"/>
        <v>1</v>
      </c>
      <c r="O63" s="46">
        <f t="shared" si="29"/>
        <v>1</v>
      </c>
      <c r="P63" s="46">
        <f t="shared" si="30"/>
        <v>1</v>
      </c>
      <c r="Q63" s="46">
        <f t="shared" si="31"/>
        <v>1</v>
      </c>
      <c r="R63" s="46">
        <f t="shared" si="32"/>
        <v>1</v>
      </c>
      <c r="S63" s="46">
        <f t="shared" si="33"/>
        <v>1</v>
      </c>
      <c r="T63" s="46">
        <f t="shared" si="34"/>
        <v>1</v>
      </c>
      <c r="U63" s="46">
        <f t="shared" si="35"/>
        <v>1</v>
      </c>
      <c r="V63" s="46">
        <f t="shared" si="36"/>
        <v>1</v>
      </c>
      <c r="W63" s="90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8" customFormat="1" ht="11.25">
      <c r="A64" s="6" t="s">
        <v>12</v>
      </c>
      <c r="B64" s="84"/>
      <c r="C64" s="9" t="str">
        <f aca="true" t="shared" si="45" ref="C64:L64">IF(C21&lt;C35,"Xi&lt;T",IF(C21&lt;C49,"Xi&lt;1,5*T","Xi&gt;1,5*T"))</f>
        <v>Xi&lt;T</v>
      </c>
      <c r="D64" s="9" t="str">
        <f t="shared" si="45"/>
        <v>Xi&lt;T</v>
      </c>
      <c r="E64" s="9" t="str">
        <f t="shared" si="45"/>
        <v>Xi&lt;T</v>
      </c>
      <c r="F64" s="9" t="str">
        <f t="shared" si="45"/>
        <v>Xi&lt;T</v>
      </c>
      <c r="G64" s="47" t="str">
        <f t="shared" si="45"/>
        <v>Xi&lt;T</v>
      </c>
      <c r="H64" s="9" t="str">
        <f t="shared" si="45"/>
        <v>Xi&lt;T</v>
      </c>
      <c r="I64" s="9" t="str">
        <f t="shared" si="45"/>
        <v>Xi&lt;T</v>
      </c>
      <c r="J64" s="9" t="str">
        <f t="shared" si="45"/>
        <v>Xi&lt;T</v>
      </c>
      <c r="K64" s="9" t="str">
        <f t="shared" si="45"/>
        <v>Xi&lt;T</v>
      </c>
      <c r="L64" s="47" t="str">
        <f t="shared" si="45"/>
        <v>Xi&lt;T</v>
      </c>
      <c r="M64" s="46">
        <f t="shared" si="38"/>
        <v>1</v>
      </c>
      <c r="N64" s="46">
        <f t="shared" si="28"/>
        <v>1</v>
      </c>
      <c r="O64" s="46">
        <f t="shared" si="29"/>
        <v>1</v>
      </c>
      <c r="P64" s="46">
        <f t="shared" si="30"/>
        <v>1</v>
      </c>
      <c r="Q64" s="46">
        <f t="shared" si="31"/>
        <v>1</v>
      </c>
      <c r="R64" s="46">
        <f t="shared" si="32"/>
        <v>1</v>
      </c>
      <c r="S64" s="46">
        <f t="shared" si="33"/>
        <v>1</v>
      </c>
      <c r="T64" s="46">
        <f t="shared" si="34"/>
        <v>1</v>
      </c>
      <c r="U64" s="46">
        <f t="shared" si="35"/>
        <v>1</v>
      </c>
      <c r="V64" s="46">
        <f t="shared" si="36"/>
        <v>1</v>
      </c>
      <c r="W64" s="90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8" customFormat="1" ht="11.25">
      <c r="A65" s="6" t="s">
        <v>13</v>
      </c>
      <c r="B65" s="84"/>
      <c r="C65" s="9" t="str">
        <f aca="true" t="shared" si="46" ref="C65:L65">IF(C22&lt;C36,"Xi&lt;T",IF(C22&lt;C50,"Xi&lt;1,5*T","Xi&gt;1,5*T"))</f>
        <v>Xi&lt;T</v>
      </c>
      <c r="D65" s="9" t="str">
        <f t="shared" si="46"/>
        <v>Xi&lt;T</v>
      </c>
      <c r="E65" s="9" t="str">
        <f t="shared" si="46"/>
        <v>Xi&lt;T</v>
      </c>
      <c r="F65" s="9" t="str">
        <f t="shared" si="46"/>
        <v>Xi&lt;T</v>
      </c>
      <c r="G65" s="47" t="str">
        <f t="shared" si="46"/>
        <v>Xi&lt;T</v>
      </c>
      <c r="H65" s="9" t="str">
        <f t="shared" si="46"/>
        <v>Xi&lt;T</v>
      </c>
      <c r="I65" s="9" t="str">
        <f t="shared" si="46"/>
        <v>Xi&lt;T</v>
      </c>
      <c r="J65" s="9" t="str">
        <f t="shared" si="46"/>
        <v>Xi&lt;T</v>
      </c>
      <c r="K65" s="9" t="str">
        <f t="shared" si="46"/>
        <v>Xi&lt;T</v>
      </c>
      <c r="L65" s="47" t="str">
        <f t="shared" si="46"/>
        <v>Xi&lt;T</v>
      </c>
      <c r="M65" s="46">
        <f t="shared" si="38"/>
        <v>1</v>
      </c>
      <c r="N65" s="46">
        <f t="shared" si="28"/>
        <v>1</v>
      </c>
      <c r="O65" s="46">
        <f t="shared" si="29"/>
        <v>1</v>
      </c>
      <c r="P65" s="46">
        <f t="shared" si="30"/>
        <v>1</v>
      </c>
      <c r="Q65" s="46">
        <f t="shared" si="31"/>
        <v>1</v>
      </c>
      <c r="R65" s="46">
        <f t="shared" si="32"/>
        <v>1</v>
      </c>
      <c r="S65" s="46">
        <f t="shared" si="33"/>
        <v>1</v>
      </c>
      <c r="T65" s="46">
        <f t="shared" si="34"/>
        <v>1</v>
      </c>
      <c r="U65" s="46">
        <f t="shared" si="35"/>
        <v>1</v>
      </c>
      <c r="V65" s="46">
        <f t="shared" si="36"/>
        <v>1</v>
      </c>
      <c r="W65" s="90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8" customFormat="1" ht="11.25">
      <c r="A66" s="10" t="s">
        <v>14</v>
      </c>
      <c r="B66" s="83"/>
      <c r="C66" s="9" t="str">
        <f aca="true" t="shared" si="47" ref="C66:L66">IF(C23&lt;C37,"Xi&lt;T",IF(C23&lt;C51,"Xi&lt;1,5*T","Xi&gt;1,5*T"))</f>
        <v>Xi&lt;T</v>
      </c>
      <c r="D66" s="9" t="str">
        <f t="shared" si="47"/>
        <v>Xi&lt;T</v>
      </c>
      <c r="E66" s="9" t="str">
        <f t="shared" si="47"/>
        <v>Xi&lt;T</v>
      </c>
      <c r="F66" s="9" t="str">
        <f t="shared" si="47"/>
        <v>Xi&lt;T</v>
      </c>
      <c r="G66" s="41" t="str">
        <f t="shared" si="47"/>
        <v>Xi&lt;T</v>
      </c>
      <c r="H66" s="9" t="str">
        <f t="shared" si="47"/>
        <v>Xi&lt;T</v>
      </c>
      <c r="I66" s="9" t="str">
        <f t="shared" si="47"/>
        <v>Xi&lt;T</v>
      </c>
      <c r="J66" s="9" t="str">
        <f t="shared" si="47"/>
        <v>Xi&lt;T</v>
      </c>
      <c r="K66" s="9" t="str">
        <f t="shared" si="47"/>
        <v>Xi&lt;T</v>
      </c>
      <c r="L66" s="41" t="str">
        <f t="shared" si="47"/>
        <v>Xi&lt;T</v>
      </c>
      <c r="M66" s="46">
        <f t="shared" si="38"/>
        <v>1</v>
      </c>
      <c r="N66" s="46">
        <f t="shared" si="28"/>
        <v>1</v>
      </c>
      <c r="O66" s="46">
        <f t="shared" si="29"/>
        <v>1</v>
      </c>
      <c r="P66" s="46">
        <f t="shared" si="30"/>
        <v>1</v>
      </c>
      <c r="Q66" s="46">
        <f t="shared" si="31"/>
        <v>1</v>
      </c>
      <c r="R66" s="46">
        <f t="shared" si="32"/>
        <v>1</v>
      </c>
      <c r="S66" s="46">
        <f t="shared" si="33"/>
        <v>1</v>
      </c>
      <c r="T66" s="46">
        <f t="shared" si="34"/>
        <v>1</v>
      </c>
      <c r="U66" s="46">
        <f t="shared" si="35"/>
        <v>1</v>
      </c>
      <c r="V66" s="46">
        <f t="shared" si="36"/>
        <v>1</v>
      </c>
      <c r="W66" s="90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8" customFormat="1" ht="11.25">
      <c r="A67" s="8" t="s">
        <v>84</v>
      </c>
      <c r="B67" s="84"/>
      <c r="C67" s="100" t="str">
        <f>IF(SUM(M67:Q67)&gt;6,"ja","nee")</f>
        <v>nee</v>
      </c>
      <c r="D67" s="101"/>
      <c r="E67" s="101"/>
      <c r="F67" s="101"/>
      <c r="G67" s="102"/>
      <c r="H67" s="100" t="str">
        <f>IF(SUM(M67:V67)&gt;12,"ja","nee")</f>
        <v>nee</v>
      </c>
      <c r="I67" s="101"/>
      <c r="J67" s="101"/>
      <c r="K67" s="101"/>
      <c r="L67" s="102"/>
      <c r="M67" s="46">
        <f>IF(SUM(M56:M66)=11,1,IF(OR(M56=2,M57=2,M58=2,M59=2,M60=2,61=2,M62=2,M63=2,M64=2,M65=2,M66=2),2,10))</f>
        <v>1</v>
      </c>
      <c r="N67" s="46">
        <f aca="true" t="shared" si="48" ref="N67:V67">IF(SUM(N56:N66)=11,1,IF(OR(N56=2,N57=2,N58=2,N59=2,N60=2,61=2,N62=2,N63=2,N64=2,N65=2,N66=2),2,10))</f>
        <v>1</v>
      </c>
      <c r="O67" s="46">
        <f t="shared" si="48"/>
        <v>1</v>
      </c>
      <c r="P67" s="46">
        <f t="shared" si="48"/>
        <v>1</v>
      </c>
      <c r="Q67" s="46">
        <f t="shared" si="48"/>
        <v>1</v>
      </c>
      <c r="R67" s="46">
        <f t="shared" si="48"/>
        <v>1</v>
      </c>
      <c r="S67" s="46">
        <f t="shared" si="48"/>
        <v>1</v>
      </c>
      <c r="T67" s="46">
        <f t="shared" si="48"/>
        <v>2</v>
      </c>
      <c r="U67" s="46">
        <f t="shared" si="48"/>
        <v>1</v>
      </c>
      <c r="V67" s="46">
        <f t="shared" si="48"/>
        <v>1</v>
      </c>
      <c r="W67" s="90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3:34" s="8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3:16" s="8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8" customFormat="1" ht="15.75">
      <c r="A70" s="107" t="str">
        <f>A1</f>
        <v>Steekproefopzet Gebruikersprotocol schone grond en bouwstoffen</v>
      </c>
      <c r="B70" s="107"/>
      <c r="C70" s="107"/>
      <c r="D70" s="107"/>
      <c r="E70" s="107"/>
      <c r="F70" s="107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8" customFormat="1" ht="15.75">
      <c r="A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8" customFormat="1" ht="11.25">
      <c r="A72" s="105" t="str">
        <f>A3</f>
        <v>Partij X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8" customFormat="1" ht="11.25">
      <c r="A73" s="10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3:16" s="8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8" ht="11.25">
      <c r="A75" s="17" t="s">
        <v>65</v>
      </c>
      <c r="B75" s="5">
        <f>$E$3</f>
        <v>10</v>
      </c>
      <c r="C75" s="5">
        <f>$E$3</f>
        <v>10</v>
      </c>
      <c r="D75" s="5">
        <f>$E$3</f>
        <v>10</v>
      </c>
      <c r="F75" s="5">
        <v>10</v>
      </c>
      <c r="G75" s="5">
        <v>10</v>
      </c>
      <c r="H75" s="5">
        <v>10</v>
      </c>
    </row>
    <row r="76" spans="1:80" s="10" customFormat="1" ht="11.25">
      <c r="A76" s="18" t="s">
        <v>66</v>
      </c>
      <c r="B76" s="55" t="s">
        <v>57</v>
      </c>
      <c r="C76" s="55" t="s">
        <v>2</v>
      </c>
      <c r="D76" s="64" t="s">
        <v>63</v>
      </c>
      <c r="E76" s="64"/>
      <c r="F76" s="55" t="s">
        <v>58</v>
      </c>
      <c r="G76" s="55" t="s">
        <v>2</v>
      </c>
      <c r="H76" s="64" t="s">
        <v>64</v>
      </c>
      <c r="I76" s="64"/>
      <c r="J76" s="56"/>
      <c r="K76" s="9"/>
      <c r="L76" s="56"/>
      <c r="M76" s="9"/>
      <c r="N76" s="56"/>
      <c r="O76" s="9"/>
      <c r="P76" s="56"/>
      <c r="Q76" s="9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11.25">
      <c r="A77" s="6" t="s">
        <v>0</v>
      </c>
      <c r="B77" s="67">
        <f>arseen!$F$16</f>
        <v>0.8660577892484526</v>
      </c>
      <c r="C77" s="67">
        <f>arseen!$F$14</f>
        <v>1.354108439147401</v>
      </c>
      <c r="D77" s="65" t="str">
        <f>arseen!$F$18</f>
        <v>ja</v>
      </c>
      <c r="E77" s="71">
        <f>IF(D77="ja",1,0)</f>
        <v>1</v>
      </c>
      <c r="F77" s="67">
        <f>IF($E$3=5,"",arseen!$K$17)</f>
        <v>0.9421959235562958</v>
      </c>
      <c r="G77" s="67">
        <f>IF($E$3=5,"",arseen!$K$14)</f>
        <v>1.354108439147401</v>
      </c>
      <c r="H77" s="65" t="str">
        <f>IF($E$3=5,"",arseen!$K$18)</f>
        <v>ja</v>
      </c>
      <c r="I77" s="71">
        <f>IF(H77="ja",1,0)</f>
        <v>1</v>
      </c>
      <c r="J77" s="56"/>
      <c r="K77" s="57"/>
      <c r="L77" s="56"/>
      <c r="M77" s="57"/>
      <c r="N77" s="56"/>
      <c r="O77" s="57"/>
      <c r="P77" s="56"/>
      <c r="Q77" s="5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11.25">
      <c r="A78" s="6" t="s">
        <v>5</v>
      </c>
      <c r="B78" s="67">
        <f>cadmium!$F$16</f>
        <v>-0.5528419686577808</v>
      </c>
      <c r="C78" s="67">
        <f>cadmium!$F$14</f>
        <v>-0.22166437496620742</v>
      </c>
      <c r="D78" s="65" t="str">
        <f>cadmium!$F$18</f>
        <v>ja</v>
      </c>
      <c r="E78" s="71">
        <f aca="true" t="shared" si="49" ref="E78:E87">IF(D78="ja",1,0)</f>
        <v>1</v>
      </c>
      <c r="F78" s="67">
        <f>IF($E$3=5,"",cadmium!$K$17)</f>
        <v>-0.2087996014458504</v>
      </c>
      <c r="G78" s="67">
        <f>IF($E$3=5,"",cadmium!$K$14)</f>
        <v>-0.22166437496620744</v>
      </c>
      <c r="H78" s="65" t="str">
        <f>IF($E$3=5,"",cadmium!$K$18)</f>
        <v>nee</v>
      </c>
      <c r="I78" s="71">
        <f aca="true" t="shared" si="50" ref="I78:I87">IF(H78="ja",1,0)</f>
        <v>0</v>
      </c>
      <c r="J78" s="56"/>
      <c r="K78" s="57"/>
      <c r="L78" s="56"/>
      <c r="M78" s="57"/>
      <c r="N78" s="56"/>
      <c r="O78" s="57"/>
      <c r="P78" s="56"/>
      <c r="Q78" s="5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11.25">
      <c r="A79" s="6" t="s">
        <v>6</v>
      </c>
      <c r="B79" s="67">
        <f>chroom!$F$16</f>
        <v>1.2547688113315925</v>
      </c>
      <c r="C79" s="67">
        <f>chroom!$F$14</f>
        <v>1.9030899869919433</v>
      </c>
      <c r="D79" s="65" t="str">
        <f>chroom!$F$18</f>
        <v>ja</v>
      </c>
      <c r="E79" s="71">
        <f t="shared" si="49"/>
        <v>1</v>
      </c>
      <c r="F79" s="67">
        <f>IF($E$3=5,"",chroom!$K$17)</f>
        <v>1.2368947708742122</v>
      </c>
      <c r="G79" s="67">
        <f>IF($E$3=5,"",chroom!$K$14)</f>
        <v>1.9030899869919433</v>
      </c>
      <c r="H79" s="65" t="str">
        <f>IF($E$3=5,"",chroom!$K$18)</f>
        <v>ja</v>
      </c>
      <c r="I79" s="71">
        <f t="shared" si="50"/>
        <v>1</v>
      </c>
      <c r="J79" s="56"/>
      <c r="K79" s="57"/>
      <c r="L79" s="56"/>
      <c r="M79" s="57"/>
      <c r="N79" s="56"/>
      <c r="O79" s="57"/>
      <c r="P79" s="56"/>
      <c r="Q79" s="57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11.25">
      <c r="A80" s="6" t="s">
        <v>7</v>
      </c>
      <c r="B80" s="67">
        <f>koper!$F$16</f>
        <v>0.6989700043360189</v>
      </c>
      <c r="C80" s="67">
        <f>koper!$F$14</f>
        <v>1.421603926869831</v>
      </c>
      <c r="D80" s="65" t="str">
        <f>koper!$F$18</f>
        <v>ja</v>
      </c>
      <c r="E80" s="71">
        <f t="shared" si="49"/>
        <v>1</v>
      </c>
      <c r="F80" s="67">
        <f>IF($E$3=5,"",koper!$K$17)</f>
        <v>0.6989700043360189</v>
      </c>
      <c r="G80" s="67">
        <f>IF($E$3=5,"",koper!$K$14)</f>
        <v>1.4216039268698313</v>
      </c>
      <c r="H80" s="65" t="str">
        <f>IF($E$3=5,"",koper!$K$18)</f>
        <v>ja</v>
      </c>
      <c r="I80" s="71">
        <f t="shared" si="50"/>
        <v>1</v>
      </c>
      <c r="J80" s="56"/>
      <c r="K80" s="57"/>
      <c r="L80" s="56"/>
      <c r="M80" s="57"/>
      <c r="N80" s="56"/>
      <c r="O80" s="57"/>
      <c r="P80" s="56"/>
      <c r="Q80" s="57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11.25">
      <c r="A81" s="6" t="s">
        <v>8</v>
      </c>
      <c r="B81" s="67">
        <f>kwik!$F$16</f>
        <v>-0.5934598195660449</v>
      </c>
      <c r="C81" s="67">
        <f>kwik!$F$14</f>
        <v>-0.5916027752201041</v>
      </c>
      <c r="D81" s="65" t="str">
        <f>kwik!$F$18</f>
        <v>ja</v>
      </c>
      <c r="E81" s="71">
        <f t="shared" si="49"/>
        <v>1</v>
      </c>
      <c r="F81" s="67">
        <f>IF($E$3=5,"",kwik!$K$17)</f>
        <v>-0.5934598195660448</v>
      </c>
      <c r="G81" s="67">
        <f>IF($E$3=5,"",kwik!$K$14)</f>
        <v>-0.5916027752201041</v>
      </c>
      <c r="H81" s="65" t="str">
        <f>IF($E$3=5,"",kwik!$K$18)</f>
        <v>ja</v>
      </c>
      <c r="I81" s="71">
        <f t="shared" si="50"/>
        <v>1</v>
      </c>
      <c r="J81" s="56"/>
      <c r="K81" s="57"/>
      <c r="L81" s="56"/>
      <c r="M81" s="57"/>
      <c r="N81" s="56"/>
      <c r="O81" s="57"/>
      <c r="P81" s="56"/>
      <c r="Q81" s="57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11.25">
      <c r="A82" s="6" t="s">
        <v>9</v>
      </c>
      <c r="B82" s="67">
        <f>lood!$F$16</f>
        <v>1.1139433523068367</v>
      </c>
      <c r="C82" s="67">
        <f>lood!$F$14</f>
        <v>1.8388490907372552</v>
      </c>
      <c r="D82" s="65" t="str">
        <f>lood!$F$18</f>
        <v>ja</v>
      </c>
      <c r="E82" s="71">
        <f t="shared" si="49"/>
        <v>1</v>
      </c>
      <c r="F82" s="67">
        <f>IF($E$3=5,"",lood!$K$17)</f>
        <v>1.1139433523068367</v>
      </c>
      <c r="G82" s="67">
        <f>IF($E$3=5,"",lood!$K$14)</f>
        <v>1.8388490907372552</v>
      </c>
      <c r="H82" s="65" t="str">
        <f>IF($E$3=5,"",lood!$K$18)</f>
        <v>ja</v>
      </c>
      <c r="I82" s="71">
        <f t="shared" si="50"/>
        <v>1</v>
      </c>
      <c r="J82" s="56"/>
      <c r="K82" s="57"/>
      <c r="L82" s="56"/>
      <c r="M82" s="57"/>
      <c r="N82" s="56"/>
      <c r="O82" s="57"/>
      <c r="P82" s="56"/>
      <c r="Q82" s="57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11.25">
      <c r="A83" s="6" t="s">
        <v>10</v>
      </c>
      <c r="B83" s="67">
        <f>nikkel!$F$16</f>
        <v>1</v>
      </c>
      <c r="C83" s="67">
        <f>nikkel!$F$14</f>
        <v>1.3979400086720377</v>
      </c>
      <c r="D83" s="65" t="str">
        <f>nikkel!$F$18</f>
        <v>ja</v>
      </c>
      <c r="E83" s="71">
        <f t="shared" si="49"/>
        <v>1</v>
      </c>
      <c r="F83" s="67">
        <f>IF($E$3=5,"",nikkel!$K$17)</f>
        <v>1</v>
      </c>
      <c r="G83" s="67">
        <f>IF($E$3=5,"",nikkel!$K$14)</f>
        <v>1.3979400086720377</v>
      </c>
      <c r="H83" s="65" t="str">
        <f>IF($E$3=5,"",nikkel!$K$18)</f>
        <v>ja</v>
      </c>
      <c r="I83" s="71">
        <f t="shared" si="50"/>
        <v>1</v>
      </c>
      <c r="J83" s="56"/>
      <c r="K83" s="57"/>
      <c r="L83" s="56"/>
      <c r="M83" s="57"/>
      <c r="N83" s="56"/>
      <c r="O83" s="57"/>
      <c r="P83" s="56"/>
      <c r="Q83" s="57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11.25">
      <c r="A84" s="6" t="s">
        <v>11</v>
      </c>
      <c r="B84" s="67">
        <f>zink!$F$16</f>
        <v>1.9816583602592721</v>
      </c>
      <c r="C84" s="67">
        <f>zink!$F$14</f>
        <v>2.0043213737826426</v>
      </c>
      <c r="D84" s="65" t="str">
        <f>zink!$F$18</f>
        <v>ja</v>
      </c>
      <c r="E84" s="71">
        <f t="shared" si="49"/>
        <v>1</v>
      </c>
      <c r="F84" s="67">
        <f>IF($E$3=5,"",zink!$K$17)</f>
        <v>1.9100908258819254</v>
      </c>
      <c r="G84" s="67">
        <f>IF($E$3=5,"",zink!$K$14)</f>
        <v>2.004321373782642</v>
      </c>
      <c r="H84" s="65" t="str">
        <f>IF($E$3=5,"",zink!$K$18)</f>
        <v>ja</v>
      </c>
      <c r="I84" s="71">
        <f t="shared" si="50"/>
        <v>1</v>
      </c>
      <c r="J84" s="56"/>
      <c r="K84" s="57"/>
      <c r="L84" s="56"/>
      <c r="M84" s="57"/>
      <c r="N84" s="56"/>
      <c r="O84" s="57"/>
      <c r="P84" s="56"/>
      <c r="Q84" s="57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11.25">
      <c r="A85" s="6" t="s">
        <v>12</v>
      </c>
      <c r="B85" s="67">
        <f>EOX!$F$16</f>
        <v>-0.934110088806506</v>
      </c>
      <c r="C85" s="67">
        <f>EOX!$F$14</f>
        <v>-0.5228787452803376</v>
      </c>
      <c r="D85" s="65" t="str">
        <f>EOX!$F$18</f>
        <v>ja</v>
      </c>
      <c r="E85" s="71">
        <f t="shared" si="49"/>
        <v>1</v>
      </c>
      <c r="F85" s="67">
        <f>IF($E$3=5,"",EOX!$K$17)</f>
        <v>-0.9887248978967321</v>
      </c>
      <c r="G85" s="67">
        <f>IF($E$3=5,"",EOX!$K$14)</f>
        <v>-0.5228787452803375</v>
      </c>
      <c r="H85" s="65" t="str">
        <f>IF($E$3=5,"",EOX!$K$18)</f>
        <v>ja</v>
      </c>
      <c r="I85" s="71">
        <f t="shared" si="50"/>
        <v>1</v>
      </c>
      <c r="J85" s="56"/>
      <c r="K85" s="57"/>
      <c r="L85" s="56"/>
      <c r="M85" s="57"/>
      <c r="N85" s="56"/>
      <c r="O85" s="57"/>
      <c r="P85" s="56"/>
      <c r="Q85" s="57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11.25">
      <c r="A86" s="6" t="s">
        <v>13</v>
      </c>
      <c r="B86" s="67">
        <f>PAK!$F$16</f>
        <v>-0.07881275329464865</v>
      </c>
      <c r="C86" s="67">
        <f>PAK!$F$14</f>
        <v>0</v>
      </c>
      <c r="D86" s="65" t="str">
        <f>PAK!$F$18</f>
        <v>ja</v>
      </c>
      <c r="E86" s="71">
        <f t="shared" si="49"/>
        <v>1</v>
      </c>
      <c r="F86" s="67">
        <f>IF($E$3=5,"",PAK!$K$17)</f>
        <v>-0.22986625622580842</v>
      </c>
      <c r="G86" s="67">
        <f>IF($E$3=5,"",PAK!$K$14)</f>
        <v>0</v>
      </c>
      <c r="H86" s="65" t="str">
        <f>IF($E$3=5,"",PAK!$K$18)</f>
        <v>ja</v>
      </c>
      <c r="I86" s="71">
        <f t="shared" si="50"/>
        <v>1</v>
      </c>
      <c r="J86" s="56"/>
      <c r="K86" s="57"/>
      <c r="L86" s="56"/>
      <c r="M86" s="57"/>
      <c r="N86" s="56"/>
      <c r="O86" s="57"/>
      <c r="P86" s="56"/>
      <c r="Q86" s="57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10" customFormat="1" ht="11.25">
      <c r="A87" s="10" t="s">
        <v>14</v>
      </c>
      <c r="B87" s="39">
        <f>Olie!$F$16</f>
        <v>1.146128035678238</v>
      </c>
      <c r="C87" s="39">
        <f>Olie!$F$14</f>
        <v>1.3010299956639813</v>
      </c>
      <c r="D87" s="66" t="str">
        <f>Olie!$F$18</f>
        <v>ja</v>
      </c>
      <c r="E87" s="72">
        <f t="shared" si="49"/>
        <v>1</v>
      </c>
      <c r="F87" s="39">
        <f>IF($E$3=5,"",Olie!$K$17)</f>
        <v>1.146128035678238</v>
      </c>
      <c r="G87" s="39">
        <f>IF($E$3=5,"",Olie!$K$14)</f>
        <v>1.3010299956639813</v>
      </c>
      <c r="H87" s="66" t="str">
        <f>IF($E$3=5,"",arseen!$K$18)</f>
        <v>ja</v>
      </c>
      <c r="I87" s="72">
        <f t="shared" si="50"/>
        <v>1</v>
      </c>
      <c r="J87" s="58"/>
      <c r="K87" s="57"/>
      <c r="L87" s="56"/>
      <c r="M87" s="57"/>
      <c r="N87" s="56"/>
      <c r="O87" s="57"/>
      <c r="P87" s="56"/>
      <c r="Q87" s="57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4:80" s="28" customFormat="1" ht="3" customHeight="1">
      <c r="D88" s="17"/>
      <c r="E88" s="27"/>
      <c r="I88" s="32"/>
      <c r="J88" s="17"/>
      <c r="K88" s="59"/>
      <c r="L88" s="17"/>
      <c r="M88" s="59"/>
      <c r="N88" s="17"/>
      <c r="O88" s="59"/>
      <c r="P88" s="17"/>
      <c r="Q88" s="59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spans="1:80" ht="11.25">
      <c r="A89" s="6" t="s">
        <v>79</v>
      </c>
      <c r="B89" s="94" t="str">
        <f>IF(OR(E89=0,C67="ja"),"nee","ja")</f>
        <v>ja</v>
      </c>
      <c r="C89" s="95"/>
      <c r="D89" s="96"/>
      <c r="E89" s="16">
        <f>MIN(E77:E87)</f>
        <v>1</v>
      </c>
      <c r="F89" s="94" t="str">
        <f>IF(E3=5,"",IF(OR(I89=0,H67="ja"),"nee","ja"))</f>
        <v>nee</v>
      </c>
      <c r="G89" s="95"/>
      <c r="H89" s="96"/>
      <c r="I89" s="16">
        <f>MIN(I77:I87)</f>
        <v>0</v>
      </c>
      <c r="J89" s="9"/>
      <c r="K89" s="9"/>
      <c r="L89" s="9"/>
      <c r="M89" s="9"/>
      <c r="N89" s="9"/>
      <c r="O89" s="9"/>
      <c r="P89" s="9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6:80" ht="11.25">
      <c r="F90" s="9"/>
      <c r="H90" s="9"/>
      <c r="I90" s="9"/>
      <c r="J90" s="9"/>
      <c r="K90" s="9"/>
      <c r="L90" s="9"/>
      <c r="M90" s="9"/>
      <c r="N90" s="9"/>
      <c r="O90" s="9"/>
      <c r="P90" s="9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</sheetData>
  <sheetProtection/>
  <mergeCells count="11">
    <mergeCell ref="A3:A4"/>
    <mergeCell ref="A72:A73"/>
    <mergeCell ref="A70:F70"/>
    <mergeCell ref="C3:D4"/>
    <mergeCell ref="E3:E4"/>
    <mergeCell ref="B89:D89"/>
    <mergeCell ref="F89:H89"/>
    <mergeCell ref="C55:G55"/>
    <mergeCell ref="H55:L55"/>
    <mergeCell ref="C67:G67"/>
    <mergeCell ref="H67:L6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6.71093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invoer!A13</f>
        <v>Arseen,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Arseen, mg/kg d.s.</v>
      </c>
      <c r="B6" s="1">
        <f>invoer!C13</f>
        <v>4.25</v>
      </c>
      <c r="C6" s="1">
        <f>invoer!D13</f>
        <v>4.9</v>
      </c>
      <c r="D6" s="1">
        <f>invoer!E13</f>
        <v>6</v>
      </c>
      <c r="E6" s="1">
        <f>invoer!F13</f>
        <v>4</v>
      </c>
      <c r="F6" s="1">
        <f>invoer!G13</f>
        <v>4</v>
      </c>
      <c r="G6" s="1">
        <f>invoer!H13</f>
        <v>4.25</v>
      </c>
      <c r="H6" s="1">
        <f>invoer!I13</f>
        <v>4.9</v>
      </c>
      <c r="I6" s="1">
        <f>invoer!J13</f>
        <v>10</v>
      </c>
      <c r="J6" s="1">
        <f>invoer!K13</f>
        <v>4</v>
      </c>
      <c r="K6" s="1">
        <f>invoer!L13</f>
        <v>4</v>
      </c>
      <c r="L6" s="1"/>
    </row>
    <row r="7" spans="1:12" ht="12.75">
      <c r="A7" t="s">
        <v>35</v>
      </c>
      <c r="B7" s="2">
        <f>IF(B6=0,"",LOG(B6))</f>
        <v>0.6283889300503115</v>
      </c>
      <c r="C7" s="2">
        <f aca="true" t="shared" si="0" ref="C7:K7">IF(C6=0,"",LOG(C6))</f>
        <v>0.6901960800285137</v>
      </c>
      <c r="D7" s="2">
        <f t="shared" si="0"/>
        <v>0.7781512503836436</v>
      </c>
      <c r="E7" s="2">
        <f t="shared" si="0"/>
        <v>0.6020599913279624</v>
      </c>
      <c r="F7" s="2">
        <f t="shared" si="0"/>
        <v>0.6020599913279624</v>
      </c>
      <c r="G7" s="2">
        <f t="shared" si="0"/>
        <v>0.6283889300503115</v>
      </c>
      <c r="H7" s="2">
        <f t="shared" si="0"/>
        <v>0.6901960800285137</v>
      </c>
      <c r="I7" s="2">
        <f t="shared" si="0"/>
        <v>1</v>
      </c>
      <c r="J7" s="2">
        <f t="shared" si="0"/>
        <v>0.6020599913279624</v>
      </c>
      <c r="K7" s="2">
        <f t="shared" si="0"/>
        <v>0.6020599913279624</v>
      </c>
      <c r="L7" s="2"/>
    </row>
    <row r="8" spans="1:12" ht="12.75">
      <c r="A8" t="s">
        <v>16</v>
      </c>
      <c r="B8" s="2">
        <f>invoer!C27</f>
        <v>22.6</v>
      </c>
      <c r="C8" s="2">
        <f>invoer!D27</f>
        <v>22.6</v>
      </c>
      <c r="D8" s="2">
        <f>invoer!E27</f>
        <v>22.6</v>
      </c>
      <c r="E8" s="2">
        <f>invoer!F27</f>
        <v>22.6</v>
      </c>
      <c r="F8" s="2">
        <f>invoer!G27</f>
        <v>22.6</v>
      </c>
      <c r="G8" s="2">
        <f>invoer!H27</f>
        <v>22.6</v>
      </c>
      <c r="H8" s="2">
        <f>invoer!I27</f>
        <v>22.6</v>
      </c>
      <c r="I8" s="2">
        <f>invoer!J27</f>
        <v>22.6</v>
      </c>
      <c r="J8" s="2">
        <f>invoer!K27</f>
        <v>22.6</v>
      </c>
      <c r="K8" s="2">
        <f>invoer!L27</f>
        <v>22.6</v>
      </c>
      <c r="L8" s="2"/>
    </row>
    <row r="9" spans="1:12" ht="12.75">
      <c r="A9" t="s">
        <v>2</v>
      </c>
      <c r="B9" s="2">
        <f>IF(B8=0,"",LOG(B8))</f>
        <v>1.354108439147401</v>
      </c>
      <c r="C9" s="2">
        <f aca="true" t="shared" si="1" ref="C9:K9">IF(C8=0,"",LOG(C8))</f>
        <v>1.354108439147401</v>
      </c>
      <c r="D9" s="2">
        <f t="shared" si="1"/>
        <v>1.354108439147401</v>
      </c>
      <c r="E9" s="2">
        <f t="shared" si="1"/>
        <v>1.354108439147401</v>
      </c>
      <c r="F9" s="2">
        <f t="shared" si="1"/>
        <v>1.354108439147401</v>
      </c>
      <c r="G9" s="2">
        <f t="shared" si="1"/>
        <v>1.354108439147401</v>
      </c>
      <c r="H9" s="2">
        <f t="shared" si="1"/>
        <v>1.354108439147401</v>
      </c>
      <c r="I9" s="2">
        <f t="shared" si="1"/>
        <v>1.354108439147401</v>
      </c>
      <c r="J9" s="2">
        <f t="shared" si="1"/>
        <v>1.354108439147401</v>
      </c>
      <c r="K9" s="2">
        <f t="shared" si="1"/>
        <v>1.354108439147401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0.6601712486236788</v>
      </c>
      <c r="G12" s="2"/>
      <c r="H12" s="2"/>
      <c r="I12" s="2"/>
      <c r="J12" s="2"/>
      <c r="K12" s="2">
        <f>SUM(B7:K7)/10</f>
        <v>0.6823561235853144</v>
      </c>
      <c r="L12" s="2"/>
    </row>
    <row r="13" spans="1:12" s="31" customFormat="1" ht="12.75">
      <c r="A13" s="31" t="s">
        <v>1</v>
      </c>
      <c r="F13" s="2">
        <f>IF(STDEV($B$7:F7)&lt;0.000000025,0,STDEV($B$7:F7))</f>
        <v>0.07514107322072033</v>
      </c>
      <c r="G13" s="2"/>
      <c r="H13" s="2"/>
      <c r="I13" s="2"/>
      <c r="J13" s="2"/>
      <c r="K13" s="2">
        <f>IF(STDEV($B$7:K7)&lt;0.000000025,0,STDEV($B$7:K7))</f>
        <v>0.12552647341593307</v>
      </c>
      <c r="L13" s="2"/>
    </row>
    <row r="14" spans="1:12" ht="12.75">
      <c r="A14" t="s">
        <v>55</v>
      </c>
      <c r="F14" s="2">
        <f>SUM(B9:F9)/5</f>
        <v>1.354108439147401</v>
      </c>
      <c r="G14" s="2"/>
      <c r="H14" s="2"/>
      <c r="I14" s="2"/>
      <c r="J14" s="2"/>
      <c r="K14" s="2">
        <f>SUM(B9:K9)/10</f>
        <v>1.354108439147401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0.8660577892484526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0.9421959235562958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3" spans="6:17" ht="12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6:17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7.574218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invoer!A22</f>
        <v>PAK(10),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PAK(10), mg/kg d.s.</v>
      </c>
      <c r="B6" s="1">
        <f>invoer!C22</f>
        <v>0.23</v>
      </c>
      <c r="C6" s="1">
        <f>invoer!D22</f>
        <v>0.12</v>
      </c>
      <c r="D6" s="1">
        <f>invoer!E22</f>
        <v>0.43</v>
      </c>
      <c r="E6" s="1">
        <f>invoer!F22</f>
        <v>0.24</v>
      </c>
      <c r="F6" s="1">
        <f>invoer!G22</f>
        <v>0.27</v>
      </c>
      <c r="G6" s="1">
        <f>invoer!H22</f>
        <v>0.3</v>
      </c>
      <c r="H6" s="1">
        <f>invoer!I22</f>
        <v>0.43</v>
      </c>
      <c r="I6" s="1">
        <f>invoer!J22</f>
        <v>0.14</v>
      </c>
      <c r="J6" s="1">
        <f>invoer!K22</f>
        <v>0.3</v>
      </c>
      <c r="K6" s="1">
        <f>invoer!L22</f>
        <v>0.21</v>
      </c>
      <c r="L6" s="1"/>
    </row>
    <row r="7" spans="1:12" ht="12.75">
      <c r="A7" t="s">
        <v>35</v>
      </c>
      <c r="B7" s="2">
        <f>IF(B6=0,"",LOG(B6))</f>
        <v>-0.638272163982407</v>
      </c>
      <c r="C7" s="2">
        <f aca="true" t="shared" si="0" ref="C7:K7">IF(C6=0,"",LOG(C6))</f>
        <v>-0.9208187539523752</v>
      </c>
      <c r="D7" s="2">
        <f t="shared" si="0"/>
        <v>-0.36653154442041347</v>
      </c>
      <c r="E7" s="2">
        <f t="shared" si="0"/>
        <v>-0.619788758288394</v>
      </c>
      <c r="F7" s="2">
        <f t="shared" si="0"/>
        <v>-0.5686362358410126</v>
      </c>
      <c r="G7" s="2">
        <f t="shared" si="0"/>
        <v>-0.5228787452803376</v>
      </c>
      <c r="H7" s="2">
        <f t="shared" si="0"/>
        <v>-0.36653154442041347</v>
      </c>
      <c r="I7" s="2">
        <f t="shared" si="0"/>
        <v>-0.8538719643217619</v>
      </c>
      <c r="J7" s="2">
        <f t="shared" si="0"/>
        <v>-0.5228787452803376</v>
      </c>
      <c r="K7" s="2">
        <f t="shared" si="0"/>
        <v>-0.6777807052660807</v>
      </c>
      <c r="L7" s="2"/>
    </row>
    <row r="8" spans="1:12" ht="12.75">
      <c r="A8" t="s">
        <v>16</v>
      </c>
      <c r="B8" s="2">
        <f>invoer!C36</f>
        <v>1</v>
      </c>
      <c r="C8" s="2">
        <f>invoer!D36</f>
        <v>1</v>
      </c>
      <c r="D8" s="2">
        <f>invoer!E36</f>
        <v>1</v>
      </c>
      <c r="E8" s="2">
        <f>invoer!F36</f>
        <v>1</v>
      </c>
      <c r="F8" s="2">
        <f>invoer!G36</f>
        <v>1</v>
      </c>
      <c r="G8" s="2">
        <f>invoer!H36</f>
        <v>1</v>
      </c>
      <c r="H8" s="2">
        <f>invoer!I36</f>
        <v>1</v>
      </c>
      <c r="I8" s="2">
        <f>invoer!J36</f>
        <v>1</v>
      </c>
      <c r="J8" s="2">
        <f>invoer!K36</f>
        <v>1</v>
      </c>
      <c r="K8" s="2">
        <f>invoer!L36</f>
        <v>1</v>
      </c>
      <c r="L8" s="2"/>
    </row>
    <row r="9" spans="1:12" ht="12.75">
      <c r="A9" t="s">
        <v>2</v>
      </c>
      <c r="B9" s="2">
        <f>IF(B8=0,"",LOG(B8))</f>
        <v>0</v>
      </c>
      <c r="C9" s="2">
        <f aca="true" t="shared" si="1" ref="C9:K9">IF(C8=0,"",LOG(C8))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-0.6228094912969204</v>
      </c>
      <c r="G12" s="2"/>
      <c r="H12" s="2"/>
      <c r="I12" s="2"/>
      <c r="J12" s="2"/>
      <c r="K12" s="2">
        <f>SUM(B7:K7)/10</f>
        <v>-0.6057989161053533</v>
      </c>
      <c r="L12" s="2"/>
    </row>
    <row r="13" spans="1:12" s="31" customFormat="1" ht="12.75">
      <c r="A13" s="31" t="s">
        <v>1</v>
      </c>
      <c r="F13" s="2">
        <f>IF(STDEV($B$7:F7)&lt;0.000000025,0,STDEV($B$7:F7))</f>
        <v>0.19853895547528164</v>
      </c>
      <c r="G13" s="2"/>
      <c r="H13" s="2"/>
      <c r="I13" s="2"/>
      <c r="J13" s="2"/>
      <c r="K13" s="2">
        <f>IF(STDEV($B$7:K7)&lt;0.000000025,0,STDEV($B$7:K7))</f>
        <v>0.18160998061813763</v>
      </c>
      <c r="L13" s="2"/>
    </row>
    <row r="14" spans="1:12" ht="12.75">
      <c r="A14" t="s">
        <v>55</v>
      </c>
      <c r="F14" s="2">
        <f>SUM(B9:F9)/5</f>
        <v>0</v>
      </c>
      <c r="G14" s="2"/>
      <c r="H14" s="2"/>
      <c r="I14" s="2"/>
      <c r="J14" s="2"/>
      <c r="K14" s="2">
        <f>SUM(B9:K9)/10</f>
        <v>0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-0.07881275329464865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-0.22986625622580842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4.4218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invoer!A21</f>
        <v>EOX,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EOX, mg/kg d.s.</v>
      </c>
      <c r="B6" s="1">
        <f>invoer!C21</f>
        <v>0.07</v>
      </c>
      <c r="C6" s="1">
        <f>invoer!D21</f>
        <v>0.07</v>
      </c>
      <c r="D6" s="1">
        <f>invoer!E21</f>
        <v>0.1</v>
      </c>
      <c r="E6" s="1">
        <f>invoer!F21</f>
        <v>0.07</v>
      </c>
      <c r="F6" s="1">
        <f>invoer!G21</f>
        <v>0.07</v>
      </c>
      <c r="G6" s="1">
        <f>invoer!H21</f>
        <v>0.07</v>
      </c>
      <c r="H6" s="1">
        <f>invoer!I21</f>
        <v>0.07</v>
      </c>
      <c r="I6" s="1">
        <f>invoer!J21</f>
        <v>0.1</v>
      </c>
      <c r="J6" s="1">
        <f>invoer!K21</f>
        <v>0.07</v>
      </c>
      <c r="K6" s="1">
        <f>invoer!L21</f>
        <v>0.07</v>
      </c>
      <c r="L6" s="1"/>
    </row>
    <row r="7" spans="1:12" ht="12.75">
      <c r="A7" t="s">
        <v>35</v>
      </c>
      <c r="B7" s="2">
        <f>IF(B6=0,"",LOG(B6))</f>
        <v>-1.154901959985743</v>
      </c>
      <c r="C7" s="2">
        <f aca="true" t="shared" si="0" ref="C7:K7">IF(C6=0,"",LOG(C6))</f>
        <v>-1.154901959985743</v>
      </c>
      <c r="D7" s="2">
        <f t="shared" si="0"/>
        <v>-1</v>
      </c>
      <c r="E7" s="2">
        <f t="shared" si="0"/>
        <v>-1.154901959985743</v>
      </c>
      <c r="F7" s="2">
        <f t="shared" si="0"/>
        <v>-1.154901959985743</v>
      </c>
      <c r="G7" s="2">
        <f t="shared" si="0"/>
        <v>-1.154901959985743</v>
      </c>
      <c r="H7" s="2">
        <f t="shared" si="0"/>
        <v>-1.154901959985743</v>
      </c>
      <c r="I7" s="2">
        <f t="shared" si="0"/>
        <v>-1</v>
      </c>
      <c r="J7" s="2">
        <f t="shared" si="0"/>
        <v>-1.154901959985743</v>
      </c>
      <c r="K7" s="2">
        <f t="shared" si="0"/>
        <v>-1.154901959985743</v>
      </c>
      <c r="L7" s="2"/>
    </row>
    <row r="8" spans="1:12" ht="12.75">
      <c r="A8" t="s">
        <v>16</v>
      </c>
      <c r="B8" s="2">
        <f>invoer!C35</f>
        <v>0.3</v>
      </c>
      <c r="C8" s="2">
        <f>invoer!D35</f>
        <v>0.3</v>
      </c>
      <c r="D8" s="2">
        <f>invoer!E35</f>
        <v>0.3</v>
      </c>
      <c r="E8" s="2">
        <f>invoer!F35</f>
        <v>0.3</v>
      </c>
      <c r="F8" s="2">
        <f>invoer!G35</f>
        <v>0.3</v>
      </c>
      <c r="G8" s="2">
        <f>invoer!H35</f>
        <v>0.3</v>
      </c>
      <c r="H8" s="2">
        <f>invoer!I35</f>
        <v>0.3</v>
      </c>
      <c r="I8" s="2">
        <f>invoer!J35</f>
        <v>0.3</v>
      </c>
      <c r="J8" s="2">
        <f>invoer!K35</f>
        <v>0.3</v>
      </c>
      <c r="K8" s="2">
        <f>invoer!L35</f>
        <v>0.3</v>
      </c>
      <c r="L8" s="2"/>
    </row>
    <row r="9" spans="1:12" ht="12.75">
      <c r="A9" t="s">
        <v>2</v>
      </c>
      <c r="B9" s="2">
        <f>IF(B8=0,"",LOG(B8))</f>
        <v>-0.5228787452803376</v>
      </c>
      <c r="C9" s="2">
        <f aca="true" t="shared" si="1" ref="C9:K9">IF(C8=0,"",LOG(C8))</f>
        <v>-0.5228787452803376</v>
      </c>
      <c r="D9" s="2">
        <f t="shared" si="1"/>
        <v>-0.5228787452803376</v>
      </c>
      <c r="E9" s="2">
        <f t="shared" si="1"/>
        <v>-0.5228787452803376</v>
      </c>
      <c r="F9" s="2">
        <f t="shared" si="1"/>
        <v>-0.5228787452803376</v>
      </c>
      <c r="G9" s="2">
        <f t="shared" si="1"/>
        <v>-0.5228787452803376</v>
      </c>
      <c r="H9" s="2">
        <f t="shared" si="1"/>
        <v>-0.5228787452803376</v>
      </c>
      <c r="I9" s="2">
        <f t="shared" si="1"/>
        <v>-0.5228787452803376</v>
      </c>
      <c r="J9" s="2">
        <f t="shared" si="1"/>
        <v>-0.5228787452803376</v>
      </c>
      <c r="K9" s="2">
        <f t="shared" si="1"/>
        <v>-0.5228787452803376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-1.1239215679885945</v>
      </c>
      <c r="G12" s="2"/>
      <c r="H12" s="2"/>
      <c r="I12" s="2"/>
      <c r="J12" s="2"/>
      <c r="K12" s="2">
        <f>SUM(B7:K7)/10</f>
        <v>-1.1239215679885945</v>
      </c>
      <c r="L12" s="2"/>
    </row>
    <row r="13" spans="1:12" s="31" customFormat="1" ht="12.75">
      <c r="A13" s="31" t="s">
        <v>1</v>
      </c>
      <c r="F13" s="2">
        <f>IF(STDEV($B$7:F7)&lt;0.000000025,0,STDEV($B$7:F7))</f>
        <v>0.06927426247521477</v>
      </c>
      <c r="G13" s="2"/>
      <c r="H13" s="2"/>
      <c r="I13" s="2"/>
      <c r="J13" s="2"/>
      <c r="K13" s="2">
        <f>IF(STDEV($B$7:K7)&lt;0.000000025,0,STDEV($B$7:K7))</f>
        <v>0.06531240101056154</v>
      </c>
      <c r="L13" s="2"/>
    </row>
    <row r="14" spans="1:12" ht="12.75">
      <c r="A14" t="s">
        <v>55</v>
      </c>
      <c r="F14" s="2">
        <f>SUM(B9:F9)/5</f>
        <v>-0.5228787452803376</v>
      </c>
      <c r="G14" s="2"/>
      <c r="H14" s="2"/>
      <c r="I14" s="2"/>
      <c r="J14" s="2"/>
      <c r="K14" s="2">
        <f>SUM(B9:K9)/10</f>
        <v>-0.5228787452803375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-0.934110088806506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-0.9887248978967321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4.4218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invoer!A20</f>
        <v>Zink,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Zink, mg/kg d.s.</v>
      </c>
      <c r="B6" s="1">
        <f>invoer!C20</f>
        <v>40</v>
      </c>
      <c r="C6" s="1">
        <f>invoer!D20</f>
        <v>55</v>
      </c>
      <c r="D6" s="1">
        <f>invoer!E20</f>
        <v>50</v>
      </c>
      <c r="E6" s="1">
        <f>invoer!F20</f>
        <v>60</v>
      </c>
      <c r="F6" s="1">
        <f>invoer!G20</f>
        <v>70</v>
      </c>
      <c r="G6" s="1">
        <f>invoer!H20</f>
        <v>40</v>
      </c>
      <c r="H6" s="1">
        <f>invoer!I20</f>
        <v>55</v>
      </c>
      <c r="I6" s="1">
        <f>invoer!J20</f>
        <v>50</v>
      </c>
      <c r="J6" s="1">
        <f>invoer!K20</f>
        <v>60</v>
      </c>
      <c r="K6" s="1">
        <f>invoer!L20</f>
        <v>70</v>
      </c>
      <c r="L6" s="1"/>
    </row>
    <row r="7" spans="1:12" ht="12.75">
      <c r="A7" t="s">
        <v>35</v>
      </c>
      <c r="B7" s="2">
        <f>IF(B6=0,"",LOG(B6))</f>
        <v>1.6020599913279623</v>
      </c>
      <c r="C7" s="2">
        <f aca="true" t="shared" si="0" ref="C7:K7">IF(C6=0,"",LOG(C6))</f>
        <v>1.7403626894942439</v>
      </c>
      <c r="D7" s="2">
        <f t="shared" si="0"/>
        <v>1.6989700043360187</v>
      </c>
      <c r="E7" s="2">
        <f t="shared" si="0"/>
        <v>1.7781512503836436</v>
      </c>
      <c r="F7" s="2">
        <f t="shared" si="0"/>
        <v>1.845098040014257</v>
      </c>
      <c r="G7" s="2">
        <f t="shared" si="0"/>
        <v>1.6020599913279623</v>
      </c>
      <c r="H7" s="2">
        <f t="shared" si="0"/>
        <v>1.7403626894942439</v>
      </c>
      <c r="I7" s="2">
        <f t="shared" si="0"/>
        <v>1.6989700043360187</v>
      </c>
      <c r="J7" s="2">
        <f t="shared" si="0"/>
        <v>1.7781512503836436</v>
      </c>
      <c r="K7" s="2">
        <f t="shared" si="0"/>
        <v>1.845098040014257</v>
      </c>
      <c r="L7" s="2"/>
    </row>
    <row r="8" spans="1:12" ht="12.75">
      <c r="A8" t="s">
        <v>16</v>
      </c>
      <c r="B8" s="2">
        <f>invoer!C34</f>
        <v>101</v>
      </c>
      <c r="C8" s="2">
        <f>invoer!D34</f>
        <v>101</v>
      </c>
      <c r="D8" s="2">
        <f>invoer!E34</f>
        <v>101</v>
      </c>
      <c r="E8" s="2">
        <f>invoer!F34</f>
        <v>101</v>
      </c>
      <c r="F8" s="2">
        <f>invoer!G34</f>
        <v>101</v>
      </c>
      <c r="G8" s="2">
        <f>invoer!H34</f>
        <v>101</v>
      </c>
      <c r="H8" s="2">
        <f>invoer!I34</f>
        <v>101</v>
      </c>
      <c r="I8" s="2">
        <f>invoer!J34</f>
        <v>101</v>
      </c>
      <c r="J8" s="2">
        <f>invoer!K34</f>
        <v>101</v>
      </c>
      <c r="K8" s="2">
        <f>invoer!L34</f>
        <v>101</v>
      </c>
      <c r="L8" s="2"/>
    </row>
    <row r="9" spans="1:12" ht="12.75">
      <c r="A9" t="s">
        <v>2</v>
      </c>
      <c r="B9" s="2">
        <f>IF(B8=0,"",LOG(B8))</f>
        <v>2.0043213737826426</v>
      </c>
      <c r="C9" s="2">
        <f aca="true" t="shared" si="1" ref="C9:K9">IF(C8=0,"",LOG(C8))</f>
        <v>2.0043213737826426</v>
      </c>
      <c r="D9" s="2">
        <f t="shared" si="1"/>
        <v>2.0043213737826426</v>
      </c>
      <c r="E9" s="2">
        <f t="shared" si="1"/>
        <v>2.0043213737826426</v>
      </c>
      <c r="F9" s="2">
        <f t="shared" si="1"/>
        <v>2.0043213737826426</v>
      </c>
      <c r="G9" s="2">
        <f t="shared" si="1"/>
        <v>2.0043213737826426</v>
      </c>
      <c r="H9" s="2">
        <f t="shared" si="1"/>
        <v>2.0043213737826426</v>
      </c>
      <c r="I9" s="2">
        <f t="shared" si="1"/>
        <v>2.0043213737826426</v>
      </c>
      <c r="J9" s="2">
        <f t="shared" si="1"/>
        <v>2.0043213737826426</v>
      </c>
      <c r="K9" s="2">
        <f t="shared" si="1"/>
        <v>2.0043213737826426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1.7329283951112253</v>
      </c>
      <c r="G12" s="2"/>
      <c r="H12" s="2"/>
      <c r="I12" s="2"/>
      <c r="J12" s="2"/>
      <c r="K12" s="2">
        <f>SUM(B7:K7)/10</f>
        <v>1.7329283951112253</v>
      </c>
      <c r="L12" s="2"/>
    </row>
    <row r="13" spans="1:12" s="31" customFormat="1" ht="12.75">
      <c r="A13" s="31" t="s">
        <v>1</v>
      </c>
      <c r="F13" s="2">
        <f>IF(STDEV($B$7:F7)&lt;0.000000025,0,STDEV($B$7:F7))</f>
        <v>0.09077735954308278</v>
      </c>
      <c r="G13" s="2"/>
      <c r="H13" s="2"/>
      <c r="I13" s="2"/>
      <c r="J13" s="2"/>
      <c r="K13" s="2">
        <f>IF(STDEV($B$7:K7)&lt;0.000000025,0,STDEV($B$7:K7))</f>
        <v>0.08558571534816425</v>
      </c>
      <c r="L13" s="2"/>
    </row>
    <row r="14" spans="1:12" ht="12.75">
      <c r="A14" t="s">
        <v>55</v>
      </c>
      <c r="F14" s="2">
        <f>SUM(B9:F9)/5</f>
        <v>2.0043213737826426</v>
      </c>
      <c r="G14" s="2"/>
      <c r="H14" s="2"/>
      <c r="I14" s="2"/>
      <c r="J14" s="2"/>
      <c r="K14" s="2">
        <f>SUM(B9:K9)/10</f>
        <v>2.004321373782642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1.9816583602592721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1.9100908258819254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5.574218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invoer!A19</f>
        <v>Nikkel,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Nikkel, mg/kg d.s.</v>
      </c>
      <c r="B6" s="1">
        <f>invoer!C19</f>
        <v>10</v>
      </c>
      <c r="C6" s="1">
        <f>invoer!D19</f>
        <v>10</v>
      </c>
      <c r="D6" s="1">
        <f>invoer!E19</f>
        <v>10</v>
      </c>
      <c r="E6" s="1">
        <f>invoer!F19</f>
        <v>10</v>
      </c>
      <c r="F6" s="1">
        <f>invoer!G19</f>
        <v>10</v>
      </c>
      <c r="G6" s="1">
        <f>invoer!H19</f>
        <v>10</v>
      </c>
      <c r="H6" s="1">
        <f>invoer!I19</f>
        <v>10</v>
      </c>
      <c r="I6" s="1">
        <f>invoer!J19</f>
        <v>10</v>
      </c>
      <c r="J6" s="1">
        <f>invoer!K19</f>
        <v>10</v>
      </c>
      <c r="K6" s="1">
        <f>invoer!L19</f>
        <v>10</v>
      </c>
      <c r="L6" s="1"/>
    </row>
    <row r="7" spans="1:12" ht="12.75">
      <c r="A7" t="s">
        <v>35</v>
      </c>
      <c r="B7" s="2">
        <f>IF(B6=0,"",LOG(B6))</f>
        <v>1</v>
      </c>
      <c r="C7" s="2">
        <f aca="true" t="shared" si="0" ref="C7:K7">IF(C6=0,"",LOG(C6))</f>
        <v>1</v>
      </c>
      <c r="D7" s="2">
        <f t="shared" si="0"/>
        <v>1</v>
      </c>
      <c r="E7" s="2">
        <f t="shared" si="0"/>
        <v>1</v>
      </c>
      <c r="F7" s="2">
        <f t="shared" si="0"/>
        <v>1</v>
      </c>
      <c r="G7" s="2">
        <f t="shared" si="0"/>
        <v>1</v>
      </c>
      <c r="H7" s="2">
        <f t="shared" si="0"/>
        <v>1</v>
      </c>
      <c r="I7" s="2">
        <f t="shared" si="0"/>
        <v>1</v>
      </c>
      <c r="J7" s="2">
        <f t="shared" si="0"/>
        <v>1</v>
      </c>
      <c r="K7" s="2">
        <f t="shared" si="0"/>
        <v>1</v>
      </c>
      <c r="L7" s="2"/>
    </row>
    <row r="8" spans="1:12" ht="12.75">
      <c r="A8" t="s">
        <v>16</v>
      </c>
      <c r="B8" s="2">
        <f>invoer!C33</f>
        <v>25</v>
      </c>
      <c r="C8" s="2">
        <f>invoer!D33</f>
        <v>25</v>
      </c>
      <c r="D8" s="2">
        <f>invoer!E33</f>
        <v>25</v>
      </c>
      <c r="E8" s="2">
        <f>invoer!F33</f>
        <v>25</v>
      </c>
      <c r="F8" s="2">
        <f>invoer!G33</f>
        <v>25</v>
      </c>
      <c r="G8" s="2">
        <f>invoer!H33</f>
        <v>25</v>
      </c>
      <c r="H8" s="2">
        <f>invoer!I33</f>
        <v>25</v>
      </c>
      <c r="I8" s="2">
        <f>invoer!J33</f>
        <v>25</v>
      </c>
      <c r="J8" s="2">
        <f>invoer!K33</f>
        <v>25</v>
      </c>
      <c r="K8" s="2">
        <f>invoer!L33</f>
        <v>25</v>
      </c>
      <c r="L8" s="2"/>
    </row>
    <row r="9" spans="1:12" ht="12.75">
      <c r="A9" t="s">
        <v>2</v>
      </c>
      <c r="B9" s="2">
        <f>IF(B8=0,"",LOG(B8))</f>
        <v>1.3979400086720377</v>
      </c>
      <c r="C9" s="2">
        <f aca="true" t="shared" si="1" ref="C9:K9">IF(C8=0,"",LOG(C8))</f>
        <v>1.3979400086720377</v>
      </c>
      <c r="D9" s="2">
        <f t="shared" si="1"/>
        <v>1.3979400086720377</v>
      </c>
      <c r="E9" s="2">
        <f t="shared" si="1"/>
        <v>1.3979400086720377</v>
      </c>
      <c r="F9" s="2">
        <f t="shared" si="1"/>
        <v>1.3979400086720377</v>
      </c>
      <c r="G9" s="2">
        <f t="shared" si="1"/>
        <v>1.3979400086720377</v>
      </c>
      <c r="H9" s="2">
        <f t="shared" si="1"/>
        <v>1.3979400086720377</v>
      </c>
      <c r="I9" s="2">
        <f t="shared" si="1"/>
        <v>1.3979400086720377</v>
      </c>
      <c r="J9" s="2">
        <f t="shared" si="1"/>
        <v>1.3979400086720377</v>
      </c>
      <c r="K9" s="2">
        <f t="shared" si="1"/>
        <v>1.3979400086720377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1</v>
      </c>
      <c r="G12" s="2"/>
      <c r="H12" s="2"/>
      <c r="I12" s="2"/>
      <c r="J12" s="2"/>
      <c r="K12" s="2">
        <f>SUM(B7:K7)/10</f>
        <v>1</v>
      </c>
      <c r="L12" s="2"/>
    </row>
    <row r="13" spans="1:12" s="31" customFormat="1" ht="12.75">
      <c r="A13" s="31" t="s">
        <v>1</v>
      </c>
      <c r="F13" s="2">
        <f>IF(STDEV($B$7:F7)&lt;0.000000025,0,STDEV($B$7:F7))</f>
        <v>0</v>
      </c>
      <c r="G13" s="2"/>
      <c r="H13" s="2"/>
      <c r="I13" s="2"/>
      <c r="J13" s="2"/>
      <c r="K13" s="2">
        <f>IF(STDEV($B$7:K7)&lt;0.000000025,0,STDEV($B$7:K7))</f>
        <v>0</v>
      </c>
      <c r="L13" s="2"/>
    </row>
    <row r="14" spans="1:12" ht="12.75">
      <c r="A14" t="s">
        <v>55</v>
      </c>
      <c r="F14" s="2">
        <f>SUM(B9:F9)/5</f>
        <v>1.3979400086720377</v>
      </c>
      <c r="G14" s="2"/>
      <c r="H14" s="2"/>
      <c r="I14" s="2"/>
      <c r="J14" s="2"/>
      <c r="K14" s="2">
        <f>SUM(B9:K9)/10</f>
        <v>1.3979400086720377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1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1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4.851562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invoer!A18</f>
        <v>Lood,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Lood, mg/kg d.s.</v>
      </c>
      <c r="B6" s="1">
        <f>invoer!C18</f>
        <v>13</v>
      </c>
      <c r="C6" s="1">
        <f>invoer!D18</f>
        <v>13</v>
      </c>
      <c r="D6" s="1">
        <f>invoer!E18</f>
        <v>13</v>
      </c>
      <c r="E6" s="1">
        <f>invoer!F18</f>
        <v>13</v>
      </c>
      <c r="F6" s="1">
        <f>invoer!G18</f>
        <v>13</v>
      </c>
      <c r="G6" s="1">
        <f>invoer!H18</f>
        <v>13</v>
      </c>
      <c r="H6" s="1">
        <f>invoer!I18</f>
        <v>13</v>
      </c>
      <c r="I6" s="1">
        <f>invoer!J18</f>
        <v>13</v>
      </c>
      <c r="J6" s="1">
        <f>invoer!K18</f>
        <v>13</v>
      </c>
      <c r="K6" s="1">
        <f>invoer!L18</f>
        <v>13</v>
      </c>
      <c r="L6" s="1"/>
    </row>
    <row r="7" spans="1:12" ht="12.75">
      <c r="A7" t="s">
        <v>35</v>
      </c>
      <c r="B7" s="2">
        <f>IF(B6=0,"",LOG(B6))</f>
        <v>1.1139433523068367</v>
      </c>
      <c r="C7" s="2">
        <f aca="true" t="shared" si="0" ref="C7:K7">IF(C6=0,"",LOG(C6))</f>
        <v>1.1139433523068367</v>
      </c>
      <c r="D7" s="2">
        <f t="shared" si="0"/>
        <v>1.1139433523068367</v>
      </c>
      <c r="E7" s="2">
        <f t="shared" si="0"/>
        <v>1.1139433523068367</v>
      </c>
      <c r="F7" s="2">
        <f t="shared" si="0"/>
        <v>1.1139433523068367</v>
      </c>
      <c r="G7" s="2">
        <f t="shared" si="0"/>
        <v>1.1139433523068367</v>
      </c>
      <c r="H7" s="2">
        <f t="shared" si="0"/>
        <v>1.1139433523068367</v>
      </c>
      <c r="I7" s="2">
        <f t="shared" si="0"/>
        <v>1.1139433523068367</v>
      </c>
      <c r="J7" s="2">
        <f t="shared" si="0"/>
        <v>1.1139433523068367</v>
      </c>
      <c r="K7" s="2">
        <f t="shared" si="0"/>
        <v>1.1139433523068367</v>
      </c>
      <c r="L7" s="2"/>
    </row>
    <row r="8" spans="1:12" ht="12.75">
      <c r="A8" t="s">
        <v>16</v>
      </c>
      <c r="B8" s="2">
        <f>invoer!C32</f>
        <v>69</v>
      </c>
      <c r="C8" s="2">
        <f>invoer!D32</f>
        <v>69</v>
      </c>
      <c r="D8" s="2">
        <f>invoer!E32</f>
        <v>69</v>
      </c>
      <c r="E8" s="2">
        <f>invoer!F32</f>
        <v>69</v>
      </c>
      <c r="F8" s="2">
        <f>invoer!G32</f>
        <v>69</v>
      </c>
      <c r="G8" s="2">
        <f>invoer!H32</f>
        <v>69</v>
      </c>
      <c r="H8" s="2">
        <f>invoer!I32</f>
        <v>69</v>
      </c>
      <c r="I8" s="2">
        <f>invoer!J32</f>
        <v>69</v>
      </c>
      <c r="J8" s="2">
        <f>invoer!K32</f>
        <v>69</v>
      </c>
      <c r="K8" s="2">
        <f>invoer!L32</f>
        <v>69</v>
      </c>
      <c r="L8" s="2"/>
    </row>
    <row r="9" spans="1:12" ht="12.75">
      <c r="A9" t="s">
        <v>2</v>
      </c>
      <c r="B9" s="2">
        <f>IF(B8=0,"",LOG(B8))</f>
        <v>1.8388490907372552</v>
      </c>
      <c r="C9" s="2">
        <f aca="true" t="shared" si="1" ref="C9:K9">IF(C8=0,"",LOG(C8))</f>
        <v>1.8388490907372552</v>
      </c>
      <c r="D9" s="2">
        <f t="shared" si="1"/>
        <v>1.8388490907372552</v>
      </c>
      <c r="E9" s="2">
        <f t="shared" si="1"/>
        <v>1.8388490907372552</v>
      </c>
      <c r="F9" s="2">
        <f t="shared" si="1"/>
        <v>1.8388490907372552</v>
      </c>
      <c r="G9" s="2">
        <f t="shared" si="1"/>
        <v>1.8388490907372552</v>
      </c>
      <c r="H9" s="2">
        <f t="shared" si="1"/>
        <v>1.8388490907372552</v>
      </c>
      <c r="I9" s="2">
        <f t="shared" si="1"/>
        <v>1.8388490907372552</v>
      </c>
      <c r="J9" s="2">
        <f t="shared" si="1"/>
        <v>1.8388490907372552</v>
      </c>
      <c r="K9" s="2">
        <f t="shared" si="1"/>
        <v>1.8388490907372552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1.1139433523068367</v>
      </c>
      <c r="G12" s="2"/>
      <c r="H12" s="2"/>
      <c r="I12" s="2"/>
      <c r="J12" s="2"/>
      <c r="K12" s="2">
        <f>SUM(B7:K7)/10</f>
        <v>1.1139433523068367</v>
      </c>
      <c r="L12" s="2"/>
    </row>
    <row r="13" spans="1:12" s="31" customFormat="1" ht="12.75">
      <c r="A13" s="31" t="s">
        <v>1</v>
      </c>
      <c r="F13" s="2">
        <f>IF(STDEV($B$7:F7)&lt;0.000000025,0,STDEV($B$7:F7))</f>
        <v>0</v>
      </c>
      <c r="G13" s="2"/>
      <c r="H13" s="2"/>
      <c r="I13" s="2"/>
      <c r="J13" s="2"/>
      <c r="K13" s="2">
        <f>IF(STDEV($B$7:K7)&lt;0.000000025,0,STDEV($B$7:K7))</f>
        <v>0</v>
      </c>
      <c r="L13" s="2"/>
    </row>
    <row r="14" spans="1:12" ht="12.75">
      <c r="A14" t="s">
        <v>55</v>
      </c>
      <c r="F14" s="2">
        <f>SUM(B9:F9)/5</f>
        <v>1.8388490907372552</v>
      </c>
      <c r="G14" s="2"/>
      <c r="H14" s="2"/>
      <c r="I14" s="2"/>
      <c r="J14" s="2"/>
      <c r="K14" s="2">
        <f>SUM(B9:K9)/10</f>
        <v>1.8388490907372552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1.1139433523068367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1.1139433523068367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5.4218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invoer!A17</f>
        <v>Kwik,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Kwik, mg/kg d.s.</v>
      </c>
      <c r="B6" s="1">
        <f>invoer!C17</f>
        <v>0.255</v>
      </c>
      <c r="C6" s="1">
        <f>invoer!D17</f>
        <v>0.255</v>
      </c>
      <c r="D6" s="1">
        <f>invoer!E17</f>
        <v>0.255</v>
      </c>
      <c r="E6" s="1">
        <f>invoer!F17</f>
        <v>0.255</v>
      </c>
      <c r="F6" s="1">
        <f>invoer!G17</f>
        <v>0.255</v>
      </c>
      <c r="G6" s="1">
        <f>invoer!H17</f>
        <v>0.255</v>
      </c>
      <c r="H6" s="1">
        <f>invoer!I17</f>
        <v>0.255</v>
      </c>
      <c r="I6" s="1">
        <f>invoer!J17</f>
        <v>0.255</v>
      </c>
      <c r="J6" s="1">
        <f>invoer!K17</f>
        <v>0.255</v>
      </c>
      <c r="K6" s="1">
        <f>invoer!L17</f>
        <v>0.255</v>
      </c>
      <c r="L6" s="1"/>
    </row>
    <row r="7" spans="1:12" ht="12.75">
      <c r="A7" t="s">
        <v>35</v>
      </c>
      <c r="B7" s="2">
        <f>IF(B6=0,"",LOG(B6))</f>
        <v>-0.5934598195660449</v>
      </c>
      <c r="C7" s="2">
        <f aca="true" t="shared" si="0" ref="C7:K7">IF(C6=0,"",LOG(C6))</f>
        <v>-0.5934598195660449</v>
      </c>
      <c r="D7" s="2">
        <f t="shared" si="0"/>
        <v>-0.5934598195660449</v>
      </c>
      <c r="E7" s="2">
        <f t="shared" si="0"/>
        <v>-0.5934598195660449</v>
      </c>
      <c r="F7" s="2">
        <f t="shared" si="0"/>
        <v>-0.5934598195660449</v>
      </c>
      <c r="G7" s="2">
        <f t="shared" si="0"/>
        <v>-0.5934598195660449</v>
      </c>
      <c r="H7" s="2">
        <f t="shared" si="0"/>
        <v>-0.5934598195660449</v>
      </c>
      <c r="I7" s="2">
        <f t="shared" si="0"/>
        <v>-0.5934598195660449</v>
      </c>
      <c r="J7" s="2">
        <f t="shared" si="0"/>
        <v>-0.5934598195660449</v>
      </c>
      <c r="K7" s="2">
        <f t="shared" si="0"/>
        <v>-0.5934598195660449</v>
      </c>
      <c r="L7" s="2"/>
    </row>
    <row r="8" spans="1:12" ht="12.75">
      <c r="A8" t="s">
        <v>16</v>
      </c>
      <c r="B8" s="2">
        <f>invoer!C31</f>
        <v>0.256092715231788</v>
      </c>
      <c r="C8" s="2">
        <f>invoer!D31</f>
        <v>0.256092715231788</v>
      </c>
      <c r="D8" s="2">
        <f>invoer!E31</f>
        <v>0.256092715231788</v>
      </c>
      <c r="E8" s="2">
        <f>invoer!F31</f>
        <v>0.256092715231788</v>
      </c>
      <c r="F8" s="2">
        <f>invoer!G31</f>
        <v>0.256092715231788</v>
      </c>
      <c r="G8" s="2">
        <f>invoer!H31</f>
        <v>0.256092715231788</v>
      </c>
      <c r="H8" s="2">
        <f>invoer!I31</f>
        <v>0.256092715231788</v>
      </c>
      <c r="I8" s="2">
        <f>invoer!J31</f>
        <v>0.256092715231788</v>
      </c>
      <c r="J8" s="2">
        <f>invoer!K31</f>
        <v>0.256092715231788</v>
      </c>
      <c r="K8" s="2">
        <f>invoer!L31</f>
        <v>0.256092715231788</v>
      </c>
      <c r="L8" s="2"/>
    </row>
    <row r="9" spans="1:12" ht="12.75">
      <c r="A9" t="s">
        <v>2</v>
      </c>
      <c r="B9" s="2">
        <f>IF(B8=0,"",LOG(B8))</f>
        <v>-0.5916027752201041</v>
      </c>
      <c r="C9" s="2">
        <f aca="true" t="shared" si="1" ref="C9:K9">IF(C8=0,"",LOG(C8))</f>
        <v>-0.5916027752201041</v>
      </c>
      <c r="D9" s="2">
        <f t="shared" si="1"/>
        <v>-0.5916027752201041</v>
      </c>
      <c r="E9" s="2">
        <f t="shared" si="1"/>
        <v>-0.5916027752201041</v>
      </c>
      <c r="F9" s="2">
        <f t="shared" si="1"/>
        <v>-0.5916027752201041</v>
      </c>
      <c r="G9" s="2">
        <f t="shared" si="1"/>
        <v>-0.5916027752201041</v>
      </c>
      <c r="H9" s="2">
        <f t="shared" si="1"/>
        <v>-0.5916027752201041</v>
      </c>
      <c r="I9" s="2">
        <f t="shared" si="1"/>
        <v>-0.5916027752201041</v>
      </c>
      <c r="J9" s="2">
        <f t="shared" si="1"/>
        <v>-0.5916027752201041</v>
      </c>
      <c r="K9" s="2">
        <f t="shared" si="1"/>
        <v>-0.5916027752201041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93">
        <f>SUM(B7:F7)/5</f>
        <v>-0.5934598195660449</v>
      </c>
      <c r="G12" s="2"/>
      <c r="H12" s="2"/>
      <c r="I12" s="2"/>
      <c r="J12" s="2"/>
      <c r="K12" s="2">
        <f>SUM(B7:K7)/10</f>
        <v>-0.5934598195660448</v>
      </c>
      <c r="L12" s="2"/>
    </row>
    <row r="13" spans="1:12" s="31" customFormat="1" ht="12.75">
      <c r="A13" s="31" t="s">
        <v>1</v>
      </c>
      <c r="F13" s="2">
        <f>IF(STDEV($B$7:F7)&lt;0.000000025,0,STDEV($B$7:F7))</f>
        <v>0</v>
      </c>
      <c r="G13" s="2"/>
      <c r="H13" s="2"/>
      <c r="I13" s="2"/>
      <c r="J13" s="2"/>
      <c r="K13" s="2">
        <f>IF(STDEV($B$7:K7)&lt;0.000000025,0,STDEV($B$7:K7))</f>
        <v>0</v>
      </c>
      <c r="L13" s="2"/>
    </row>
    <row r="14" spans="1:12" ht="12.75">
      <c r="A14" t="s">
        <v>55</v>
      </c>
      <c r="F14" s="2">
        <f>SUM(B9:F9)/5</f>
        <v>-0.5916027752201041</v>
      </c>
      <c r="G14" s="2"/>
      <c r="H14" s="2"/>
      <c r="I14" s="2"/>
      <c r="J14" s="2"/>
      <c r="K14" s="2">
        <f>SUM(B9:K9)/10</f>
        <v>-0.5916027752201041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93">
        <f>F12+(F15*F13)</f>
        <v>-0.5934598195660449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-0.5934598195660448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5.71093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invoer!A16</f>
        <v>Koper,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Koper, mg/kg d.s.</v>
      </c>
      <c r="B6" s="1">
        <f>invoer!C16</f>
        <v>5</v>
      </c>
      <c r="C6" s="1">
        <f>invoer!D16</f>
        <v>5</v>
      </c>
      <c r="D6" s="1">
        <f>invoer!E16</f>
        <v>5</v>
      </c>
      <c r="E6" s="1">
        <f>invoer!F16</f>
        <v>5</v>
      </c>
      <c r="F6" s="1">
        <f>invoer!G16</f>
        <v>5</v>
      </c>
      <c r="G6" s="1">
        <f>invoer!H16</f>
        <v>5</v>
      </c>
      <c r="H6" s="1">
        <f>invoer!I16</f>
        <v>5</v>
      </c>
      <c r="I6" s="1">
        <f>invoer!J16</f>
        <v>5</v>
      </c>
      <c r="J6" s="1">
        <f>invoer!K16</f>
        <v>5</v>
      </c>
      <c r="K6" s="1">
        <f>invoer!L16</f>
        <v>5</v>
      </c>
      <c r="L6" s="1"/>
    </row>
    <row r="7" spans="1:12" ht="12.75">
      <c r="A7" t="s">
        <v>35</v>
      </c>
      <c r="B7" s="2">
        <f>IF(B6=0,"",LOG(B6))</f>
        <v>0.6989700043360189</v>
      </c>
      <c r="C7" s="2">
        <f aca="true" t="shared" si="0" ref="C7:K7">IF(C6=0,"",LOG(C6))</f>
        <v>0.6989700043360189</v>
      </c>
      <c r="D7" s="2">
        <f t="shared" si="0"/>
        <v>0.6989700043360189</v>
      </c>
      <c r="E7" s="2">
        <f t="shared" si="0"/>
        <v>0.6989700043360189</v>
      </c>
      <c r="F7" s="2">
        <f t="shared" si="0"/>
        <v>0.6989700043360189</v>
      </c>
      <c r="G7" s="2">
        <f t="shared" si="0"/>
        <v>0.6989700043360189</v>
      </c>
      <c r="H7" s="2">
        <f t="shared" si="0"/>
        <v>0.6989700043360189</v>
      </c>
      <c r="I7" s="2">
        <f t="shared" si="0"/>
        <v>0.6989700043360189</v>
      </c>
      <c r="J7" s="2">
        <f t="shared" si="0"/>
        <v>0.6989700043360189</v>
      </c>
      <c r="K7" s="2">
        <f t="shared" si="0"/>
        <v>0.6989700043360189</v>
      </c>
      <c r="L7" s="2"/>
    </row>
    <row r="8" spans="1:12" ht="12.75">
      <c r="A8" t="s">
        <v>16</v>
      </c>
      <c r="B8" s="2">
        <f>invoer!C30</f>
        <v>26.4</v>
      </c>
      <c r="C8" s="2">
        <f>invoer!D30</f>
        <v>26.4</v>
      </c>
      <c r="D8" s="2">
        <f>invoer!E30</f>
        <v>26.4</v>
      </c>
      <c r="E8" s="2">
        <f>invoer!F30</f>
        <v>26.4</v>
      </c>
      <c r="F8" s="2">
        <f>invoer!G30</f>
        <v>26.4</v>
      </c>
      <c r="G8" s="2">
        <f>invoer!H30</f>
        <v>26.4</v>
      </c>
      <c r="H8" s="2">
        <f>invoer!I30</f>
        <v>26.4</v>
      </c>
      <c r="I8" s="2">
        <f>invoer!J30</f>
        <v>26.4</v>
      </c>
      <c r="J8" s="2">
        <f>invoer!K30</f>
        <v>26.4</v>
      </c>
      <c r="K8" s="2">
        <f>invoer!L30</f>
        <v>26.4</v>
      </c>
      <c r="L8" s="2"/>
    </row>
    <row r="9" spans="1:12" ht="12.75">
      <c r="A9" t="s">
        <v>2</v>
      </c>
      <c r="B9" s="2">
        <f>IF(B8=0,"",LOG(B8))</f>
        <v>1.421603926869831</v>
      </c>
      <c r="C9" s="2">
        <f aca="true" t="shared" si="1" ref="C9:K9">IF(C8=0,"",LOG(C8))</f>
        <v>1.421603926869831</v>
      </c>
      <c r="D9" s="2">
        <f t="shared" si="1"/>
        <v>1.421603926869831</v>
      </c>
      <c r="E9" s="2">
        <f t="shared" si="1"/>
        <v>1.421603926869831</v>
      </c>
      <c r="F9" s="2">
        <f t="shared" si="1"/>
        <v>1.421603926869831</v>
      </c>
      <c r="G9" s="2">
        <f t="shared" si="1"/>
        <v>1.421603926869831</v>
      </c>
      <c r="H9" s="2">
        <f t="shared" si="1"/>
        <v>1.421603926869831</v>
      </c>
      <c r="I9" s="2">
        <f t="shared" si="1"/>
        <v>1.421603926869831</v>
      </c>
      <c r="J9" s="2">
        <f t="shared" si="1"/>
        <v>1.421603926869831</v>
      </c>
      <c r="K9" s="2">
        <f t="shared" si="1"/>
        <v>1.421603926869831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0.6989700043360189</v>
      </c>
      <c r="G12" s="2"/>
      <c r="H12" s="2"/>
      <c r="I12" s="2"/>
      <c r="J12" s="2"/>
      <c r="K12" s="2">
        <f>SUM(B7:K7)/10</f>
        <v>0.6989700043360189</v>
      </c>
      <c r="L12" s="2"/>
    </row>
    <row r="13" spans="1:12" s="31" customFormat="1" ht="12.75">
      <c r="A13" s="31" t="s">
        <v>1</v>
      </c>
      <c r="F13" s="2">
        <f>IF(STDEV($B$7:F7)&lt;0.000000025,0,STDEV($B$7:F7))</f>
        <v>0</v>
      </c>
      <c r="G13" s="2"/>
      <c r="H13" s="2"/>
      <c r="I13" s="2"/>
      <c r="J13" s="2"/>
      <c r="K13" s="2">
        <f>IF(STDEV($B$7:K7)&lt;0.000000025,0,STDEV($B$7:K7))</f>
        <v>0</v>
      </c>
      <c r="L13" s="2"/>
    </row>
    <row r="14" spans="1:12" ht="12.75">
      <c r="A14" t="s">
        <v>55</v>
      </c>
      <c r="F14" s="2">
        <f>SUM(B9:F9)/5</f>
        <v>1.421603926869831</v>
      </c>
      <c r="G14" s="2"/>
      <c r="H14" s="2"/>
      <c r="I14" s="2"/>
      <c r="J14" s="2"/>
      <c r="K14" s="2">
        <f>SUM(B9:K9)/10</f>
        <v>1.4216039268698313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0.6989700043360189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0.6989700043360189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6.7109375" style="0" customWidth="1"/>
    <col min="2" max="5" width="6.7109375" style="0" customWidth="1"/>
    <col min="6" max="6" width="10.421875" style="0" customWidth="1"/>
    <col min="7" max="21" width="10.7109375" style="0" customWidth="1"/>
  </cols>
  <sheetData>
    <row r="1" spans="1:3" ht="12.75">
      <c r="A1" s="4" t="str">
        <f>invoer!A15</f>
        <v>Chroom, mg/kg d.s.</v>
      </c>
      <c r="C1" t="str">
        <f>invoer!A3</f>
        <v>Partij X</v>
      </c>
    </row>
    <row r="4" spans="1:12" ht="12.75">
      <c r="A4" t="s">
        <v>42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54</v>
      </c>
      <c r="L4" s="1"/>
    </row>
    <row r="5" spans="1:12" ht="12.75">
      <c r="A5" t="s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30</v>
      </c>
      <c r="H5" s="1" t="s">
        <v>30</v>
      </c>
      <c r="I5" s="1" t="s">
        <v>30</v>
      </c>
      <c r="J5" s="1" t="s">
        <v>30</v>
      </c>
      <c r="K5" s="1" t="s">
        <v>30</v>
      </c>
      <c r="L5" s="1"/>
    </row>
    <row r="6" spans="1:12" ht="12.75">
      <c r="A6" t="str">
        <f>A1</f>
        <v>Chroom, mg/kg d.s.</v>
      </c>
      <c r="B6" s="1">
        <f>invoer!C15</f>
        <v>15</v>
      </c>
      <c r="C6" s="1">
        <f>invoer!D15</f>
        <v>16.5</v>
      </c>
      <c r="D6" s="1">
        <f>invoer!E15</f>
        <v>16.5</v>
      </c>
      <c r="E6" s="1">
        <f>invoer!F15</f>
        <v>15</v>
      </c>
      <c r="F6" s="1">
        <f>invoer!G15</f>
        <v>15</v>
      </c>
      <c r="G6" s="1">
        <f>invoer!H15</f>
        <v>15</v>
      </c>
      <c r="H6" s="1">
        <f>invoer!I15</f>
        <v>16.5</v>
      </c>
      <c r="I6" s="1">
        <f>invoer!J15</f>
        <v>16.5</v>
      </c>
      <c r="J6" s="1">
        <f>invoer!K15</f>
        <v>15</v>
      </c>
      <c r="K6" s="1">
        <f>invoer!L15</f>
        <v>15</v>
      </c>
      <c r="L6" s="1"/>
    </row>
    <row r="7" spans="1:12" ht="12.75">
      <c r="A7" t="s">
        <v>35</v>
      </c>
      <c r="B7" s="2">
        <f>IF(B6=0,"",LOG(B6))</f>
        <v>1.1760912590556813</v>
      </c>
      <c r="C7" s="2">
        <f aca="true" t="shared" si="0" ref="C7:K7">IF(C6=0,"",LOG(C6))</f>
        <v>1.2174839442139063</v>
      </c>
      <c r="D7" s="2">
        <f t="shared" si="0"/>
        <v>1.2174839442139063</v>
      </c>
      <c r="E7" s="2">
        <f t="shared" si="0"/>
        <v>1.1760912590556813</v>
      </c>
      <c r="F7" s="2">
        <f t="shared" si="0"/>
        <v>1.1760912590556813</v>
      </c>
      <c r="G7" s="2">
        <f t="shared" si="0"/>
        <v>1.1760912590556813</v>
      </c>
      <c r="H7" s="2">
        <f t="shared" si="0"/>
        <v>1.2174839442139063</v>
      </c>
      <c r="I7" s="2">
        <f t="shared" si="0"/>
        <v>1.2174839442139063</v>
      </c>
      <c r="J7" s="2">
        <f t="shared" si="0"/>
        <v>1.1760912590556813</v>
      </c>
      <c r="K7" s="2">
        <f t="shared" si="0"/>
        <v>1.1760912590556813</v>
      </c>
      <c r="L7" s="2"/>
    </row>
    <row r="8" spans="1:12" ht="12.75">
      <c r="A8" t="s">
        <v>16</v>
      </c>
      <c r="B8" s="2">
        <f>invoer!C29</f>
        <v>80</v>
      </c>
      <c r="C8" s="2">
        <f>invoer!D29</f>
        <v>80</v>
      </c>
      <c r="D8" s="2">
        <f>invoer!E29</f>
        <v>80</v>
      </c>
      <c r="E8" s="2">
        <f>invoer!F29</f>
        <v>80</v>
      </c>
      <c r="F8" s="2">
        <f>invoer!G29</f>
        <v>80</v>
      </c>
      <c r="G8" s="2">
        <f>invoer!H29</f>
        <v>80</v>
      </c>
      <c r="H8" s="2">
        <f>invoer!I29</f>
        <v>80</v>
      </c>
      <c r="I8" s="2">
        <f>invoer!J29</f>
        <v>80</v>
      </c>
      <c r="J8" s="2">
        <f>invoer!K29</f>
        <v>80</v>
      </c>
      <c r="K8" s="2">
        <f>invoer!L29</f>
        <v>80</v>
      </c>
      <c r="L8" s="2"/>
    </row>
    <row r="9" spans="1:12" ht="12.75">
      <c r="A9" t="s">
        <v>2</v>
      </c>
      <c r="B9" s="2">
        <f>IF(B8=0,"",LOG(B8))</f>
        <v>1.9030899869919435</v>
      </c>
      <c r="C9" s="2">
        <f aca="true" t="shared" si="1" ref="C9:K9">IF(C8=0,"",LOG(C8))</f>
        <v>1.9030899869919435</v>
      </c>
      <c r="D9" s="2">
        <f t="shared" si="1"/>
        <v>1.9030899869919435</v>
      </c>
      <c r="E9" s="2">
        <f t="shared" si="1"/>
        <v>1.9030899869919435</v>
      </c>
      <c r="F9" s="2">
        <f t="shared" si="1"/>
        <v>1.9030899869919435</v>
      </c>
      <c r="G9" s="2">
        <f t="shared" si="1"/>
        <v>1.9030899869919435</v>
      </c>
      <c r="H9" s="2">
        <f t="shared" si="1"/>
        <v>1.9030899869919435</v>
      </c>
      <c r="I9" s="2">
        <f t="shared" si="1"/>
        <v>1.9030899869919435</v>
      </c>
      <c r="J9" s="2">
        <f t="shared" si="1"/>
        <v>1.9030899869919435</v>
      </c>
      <c r="K9" s="2">
        <f t="shared" si="1"/>
        <v>1.9030899869919435</v>
      </c>
      <c r="L9" s="2"/>
    </row>
    <row r="11" spans="6:12" ht="12.75">
      <c r="F11" s="1" t="s">
        <v>61</v>
      </c>
      <c r="G11" s="1"/>
      <c r="H11" s="1"/>
      <c r="I11" s="1"/>
      <c r="J11" s="1"/>
      <c r="K11" s="1" t="s">
        <v>62</v>
      </c>
      <c r="L11" s="1"/>
    </row>
    <row r="12" spans="1:12" ht="12.75">
      <c r="A12" t="s">
        <v>56</v>
      </c>
      <c r="F12" s="2">
        <f>SUM(B7:F7)/5</f>
        <v>1.1926483331189712</v>
      </c>
      <c r="G12" s="2"/>
      <c r="H12" s="2"/>
      <c r="I12" s="2"/>
      <c r="J12" s="2"/>
      <c r="K12" s="2">
        <f>SUM(B7:K7)/10</f>
        <v>1.1926483331189712</v>
      </c>
      <c r="L12" s="2"/>
    </row>
    <row r="13" spans="1:12" s="31" customFormat="1" ht="12.75">
      <c r="A13" s="31" t="s">
        <v>1</v>
      </c>
      <c r="F13" s="2">
        <f>IF(STDEV($B$7:F7)&lt;0.000000025,0,STDEV($B$7:F7))</f>
        <v>0.02267170737686908</v>
      </c>
      <c r="G13" s="2"/>
      <c r="H13" s="2"/>
      <c r="I13" s="2"/>
      <c r="J13" s="2"/>
      <c r="K13" s="2">
        <f>IF(STDEV($B$7:K7)&lt;0.000000025,0,STDEV($B$7:K7))</f>
        <v>0.021375090703014934</v>
      </c>
      <c r="L13" s="2"/>
    </row>
    <row r="14" spans="1:12" ht="12.75">
      <c r="A14" t="s">
        <v>55</v>
      </c>
      <c r="F14" s="2">
        <f>SUM(B9:F9)/5</f>
        <v>1.9030899869919433</v>
      </c>
      <c r="G14" s="2"/>
      <c r="H14" s="2"/>
      <c r="I14" s="2"/>
      <c r="J14" s="2"/>
      <c r="K14" s="2">
        <f>SUM(B9:K9)/10</f>
        <v>1.9030899869919433</v>
      </c>
      <c r="L14" s="2"/>
    </row>
    <row r="15" spans="1:12" ht="12.75">
      <c r="A15" t="s">
        <v>59</v>
      </c>
      <c r="F15" s="33">
        <v>2.74</v>
      </c>
      <c r="G15" s="33"/>
      <c r="H15" s="33"/>
      <c r="I15" s="33"/>
      <c r="J15" s="33"/>
      <c r="K15" s="33">
        <v>2.07</v>
      </c>
      <c r="L15" s="33"/>
    </row>
    <row r="16" spans="1:8" ht="12.75">
      <c r="A16" t="s">
        <v>57</v>
      </c>
      <c r="F16" s="2">
        <f>F12+(F15*F13)</f>
        <v>1.2547688113315925</v>
      </c>
      <c r="G16" s="2"/>
      <c r="H16" s="2"/>
    </row>
    <row r="17" spans="1:17" s="51" customFormat="1" ht="12.75">
      <c r="A17" s="51" t="s">
        <v>58</v>
      </c>
      <c r="F17" s="52"/>
      <c r="G17" s="52"/>
      <c r="H17" s="52"/>
      <c r="I17" s="52"/>
      <c r="J17" s="52"/>
      <c r="K17" s="53">
        <f>K12+(K15*K13)</f>
        <v>1.2368947708742122</v>
      </c>
      <c r="L17" s="52"/>
      <c r="M17" s="52"/>
      <c r="N17" s="52"/>
      <c r="O17" s="52"/>
      <c r="P17" s="52"/>
      <c r="Q17" s="54"/>
    </row>
    <row r="18" spans="1:17" s="51" customFormat="1" ht="12.75">
      <c r="A18" s="51" t="s">
        <v>60</v>
      </c>
      <c r="F18" s="53" t="str">
        <f>IF(OR(F16&lt;F14,F16=F14),"ja","nee")</f>
        <v>ja</v>
      </c>
      <c r="G18" s="53"/>
      <c r="H18" s="53"/>
      <c r="I18" s="53"/>
      <c r="J18" s="53"/>
      <c r="K18" s="53" t="str">
        <f>IF(OR(K17&lt;K14,K17=K14),"ja","nee")</f>
        <v>ja</v>
      </c>
      <c r="L18" s="53"/>
      <c r="M18" s="53"/>
      <c r="N18" s="53"/>
      <c r="O18" s="53"/>
      <c r="P18" s="53"/>
      <c r="Q18" s="53"/>
    </row>
    <row r="19" spans="6:8" ht="12.75">
      <c r="F19" s="2"/>
      <c r="G19" s="2"/>
      <c r="H19" s="2"/>
    </row>
    <row r="20" spans="6:17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40" ht="12.75">
      <c r="E40" s="29"/>
    </row>
    <row r="41" spans="5:17" ht="12.75"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5:17" ht="12.75"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4" spans="6:17" ht="12.75"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4" ht="12.75">
      <c r="F54" s="3"/>
    </row>
    <row r="55" ht="12.75">
      <c r="F55" s="3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Laurens Martens</cp:lastModifiedBy>
  <cp:lastPrinted>2004-06-28T13:42:24Z</cp:lastPrinted>
  <dcterms:created xsi:type="dcterms:W3CDTF">2002-02-01T09:34:22Z</dcterms:created>
  <dcterms:modified xsi:type="dcterms:W3CDTF">2017-05-19T09:10:09Z</dcterms:modified>
  <cp:category/>
  <cp:version/>
  <cp:contentType/>
  <cp:contentStatus/>
</cp:coreProperties>
</file>