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 userName="Martens, Laurens" reservationPassword="902B"/>
  <workbookPr codeName="ThisWorkbook" defaultThemeVersion="124226"/>
  <bookViews>
    <workbookView xWindow="-15" yWindow="-15" windowWidth="12600" windowHeight="12120" activeTab="1"/>
  </bookViews>
  <sheets>
    <sheet name="Start" sheetId="8" r:id="rId1"/>
    <sheet name="Sbmf" sheetId="1" r:id="rId2"/>
    <sheet name="Afbeeldingen" sheetId="6" state="hidden" r:id="rId3"/>
    <sheet name="RUD N of Z" sheetId="7" state="hidden" r:id="rId4"/>
    <sheet name="Blad1" sheetId="4" r:id="rId5"/>
  </sheets>
  <externalReferences>
    <externalReference r:id="rId6"/>
  </externalReferences>
  <definedNames>
    <definedName name="_GoBack" localSheetId="1">Sbmf!$F$3</definedName>
    <definedName name="Afbeelding" localSheetId="2">INDEX(Afbeeldingen!$B$3:$B$9,MATCH([1]Zoeken!$C$2,Afbeeldingen!$A$3:$A$9,0))</definedName>
    <definedName name="Afbeelding">INDEX(Afbeeldingen!$B$3:$B$9,MATCH(#REF!,Afbeeldingen!$A$3:$A$9,0))</definedName>
    <definedName name="Afbeelding3">INDEX(Afbeeldingen!$B$3:$B$22,MATCH(Sbmf!$D$7,Afbeeldingen!$A$3:$A$22,0))</definedName>
    <definedName name="_xlnm.Print_Area" localSheetId="1">Sbmf!$A$1:$K$63</definedName>
    <definedName name="Code">'RUD N of Z'!$B$3:$B$4</definedName>
    <definedName name="Logo">INDEX(Afbeeldingen!$B$2:$B$38,MATCH(Sbmf!$D$7,Afbeeldingen!$A$2:$A$38,0))</definedName>
    <definedName name="Zoek_Figuur" localSheetId="3">OFFSET('RUD N of Z'!$C$2,MATCH('RUD N of Z'!$F$3,Code,0),0,1,1)</definedName>
    <definedName name="Zoek_Figuur">OFFSET('RUD N of Z'!$C$2,MATCH('RUD N of Z'!$F$3,Code,0),0,1,1)</definedName>
  </definedNames>
  <calcPr calcId="145621" iterate="1"/>
</workbook>
</file>

<file path=xl/calcChain.xml><?xml version="1.0" encoding="utf-8"?>
<calcChain xmlns="http://schemas.openxmlformats.org/spreadsheetml/2006/main">
  <c r="K145" i="1" l="1"/>
  <c r="K144" i="1"/>
  <c r="K143" i="1" l="1"/>
  <c r="K142" i="1"/>
  <c r="H127" i="1" l="1"/>
  <c r="N201" i="1" l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J50" i="1" l="1"/>
  <c r="Q165" i="1" l="1"/>
  <c r="Q162" i="1"/>
  <c r="A15" i="1" l="1"/>
  <c r="F147" i="1" l="1"/>
  <c r="F146" i="1"/>
  <c r="F145" i="1"/>
  <c r="G146" i="1" s="1"/>
  <c r="D53" i="1" s="1"/>
  <c r="O162" i="1"/>
  <c r="O161" i="1"/>
  <c r="O160" i="1"/>
  <c r="O159" i="1"/>
  <c r="O153" i="1"/>
  <c r="O152" i="1"/>
  <c r="O154" i="1" s="1"/>
  <c r="O151" i="1"/>
  <c r="D127" i="1"/>
  <c r="H28" i="1"/>
  <c r="D60" i="1"/>
  <c r="D50" i="1" l="1"/>
  <c r="B33" i="1"/>
  <c r="A65" i="1"/>
  <c r="B151" i="1"/>
  <c r="A66" i="1"/>
  <c r="B152" i="1"/>
  <c r="B153" i="1"/>
  <c r="B154" i="1"/>
  <c r="A64" i="1"/>
  <c r="A67" i="1"/>
  <c r="D52" i="1"/>
  <c r="B148" i="1"/>
  <c r="B149" i="1"/>
  <c r="B150" i="1"/>
  <c r="B155" i="1"/>
  <c r="B156" i="1"/>
  <c r="D51" i="1"/>
  <c r="B53" i="1"/>
  <c r="D54" i="1"/>
  <c r="D55" i="1"/>
  <c r="B50" i="1"/>
  <c r="G57" i="1"/>
  <c r="K36" i="1"/>
  <c r="M142" i="1"/>
  <c r="M140" i="1"/>
  <c r="M141" i="1"/>
  <c r="B35" i="1"/>
  <c r="K141" i="1"/>
  <c r="K140" i="1"/>
  <c r="B32" i="1"/>
  <c r="H24" i="1"/>
  <c r="AE24" i="1" s="1"/>
  <c r="K3" i="1"/>
  <c r="S160" i="1"/>
  <c r="S157" i="1"/>
  <c r="S156" i="1"/>
  <c r="S155" i="1"/>
  <c r="H21" i="1"/>
  <c r="H20" i="1"/>
  <c r="H22" i="1"/>
  <c r="G33" i="1"/>
  <c r="G12" i="1"/>
  <c r="G11" i="1"/>
  <c r="G9" i="1"/>
  <c r="H38" i="1"/>
  <c r="B28" i="1"/>
  <c r="B14" i="7"/>
  <c r="B13" i="7"/>
  <c r="B11" i="7"/>
  <c r="B10" i="7"/>
  <c r="B12" i="7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C2" i="6"/>
  <c r="K2" i="1"/>
  <c r="D24" i="1"/>
  <c r="D19" i="1"/>
  <c r="H128" i="1"/>
  <c r="G36" i="1" s="1"/>
  <c r="E127" i="1"/>
  <c r="B6" i="7" l="1"/>
  <c r="E3" i="7" s="1"/>
  <c r="F3" i="7" s="1"/>
</calcChain>
</file>

<file path=xl/comments1.xml><?xml version="1.0" encoding="utf-8"?>
<comments xmlns="http://schemas.openxmlformats.org/spreadsheetml/2006/main">
  <authors>
    <author>Martens</author>
  </authors>
  <commentList>
    <comment ref="C12" authorId="0">
      <text>
        <r>
          <rPr>
            <b/>
            <sz val="8"/>
            <color indexed="81"/>
            <rFont val="Tahoma"/>
            <family val="2"/>
          </rPr>
          <t>Martens:</t>
        </r>
        <r>
          <rPr>
            <sz val="8"/>
            <color indexed="81"/>
            <rFont val="Tahoma"/>
            <family val="2"/>
          </rPr>
          <t xml:space="preserve">
deze cel wordt
rood indien het aantal werkdagen tussen melding en toepassing kleiner is dan 0; oranje als dit ligt tussen 0 en 5 werkdagen en groen als het 5 werkdagen of meer is</t>
        </r>
      </text>
    </comment>
    <comment ref="I13" authorId="0">
      <text>
        <r>
          <rPr>
            <b/>
            <sz val="8"/>
            <color indexed="81"/>
            <rFont val="Tahoma"/>
            <family val="2"/>
          </rPr>
          <t>Martens:</t>
        </r>
        <r>
          <rPr>
            <sz val="8"/>
            <color indexed="81"/>
            <rFont val="Tahoma"/>
            <family val="2"/>
          </rPr>
          <t xml:space="preserve">
1e monsternemer</t>
        </r>
      </text>
    </comment>
    <comment ref="I14" authorId="0">
      <text>
        <r>
          <rPr>
            <b/>
            <sz val="8"/>
            <color indexed="81"/>
            <rFont val="Tahoma"/>
            <family val="2"/>
          </rPr>
          <t>Martens:</t>
        </r>
        <r>
          <rPr>
            <sz val="8"/>
            <color indexed="81"/>
            <rFont val="Tahoma"/>
            <family val="2"/>
          </rPr>
          <t xml:space="preserve">
eventuele 2e monsternemer</t>
        </r>
      </text>
    </comment>
    <comment ref="B26" authorId="0">
      <text>
        <r>
          <rPr>
            <b/>
            <sz val="8"/>
            <color indexed="81"/>
            <rFont val="Tahoma"/>
            <family val="2"/>
          </rPr>
          <t>Martens:</t>
        </r>
        <r>
          <rPr>
            <sz val="8"/>
            <color indexed="81"/>
            <rFont val="Tahoma"/>
            <family val="2"/>
          </rPr>
          <t xml:space="preserve">
vervolgkeuze ↓</t>
        </r>
      </text>
    </comment>
    <comment ref="H26" authorId="0">
      <text>
        <r>
          <rPr>
            <b/>
            <sz val="8"/>
            <color indexed="81"/>
            <rFont val="Tahoma"/>
            <family val="2"/>
          </rPr>
          <t>Martens:</t>
        </r>
        <r>
          <rPr>
            <sz val="8"/>
            <color indexed="81"/>
            <rFont val="Tahoma"/>
            <family val="2"/>
          </rPr>
          <t xml:space="preserve">
Y &lt; 2,5 homogeen, Y &gt; 2,5 grote(re) mate van heterogeniteit tussen de monsters</t>
        </r>
      </text>
    </comment>
    <comment ref="I28" authorId="0">
      <text>
        <r>
          <rPr>
            <b/>
            <sz val="8"/>
            <color indexed="81"/>
            <rFont val="Tahoma"/>
            <family val="2"/>
          </rPr>
          <t>Martens:</t>
        </r>
        <r>
          <rPr>
            <sz val="8"/>
            <color indexed="81"/>
            <rFont val="Tahoma"/>
            <family val="2"/>
          </rPr>
          <t xml:space="preserve">
In grond niet meer dan 20% bodemvreemd.
Het betreft antropogene bodemvreemde bijmengingen. Bijmengingen aan grind, schelpen e.d. kunnen onder "beschrijving materiaal" worden opgenomen.
In bouwstof niet meer dan 20% grond/baggerspecie.
Uitzonderingen: grond/bagger die functioneel onderdeel uitmaakt van de bouwstof, b.v. grond als grondstof voor beton, immobilisatenof BSA-granulaat.</t>
        </r>
      </text>
    </comment>
    <comment ref="D31" authorId="0">
      <text>
        <r>
          <rPr>
            <b/>
            <sz val="8"/>
            <color indexed="81"/>
            <rFont val="Tahoma"/>
            <family val="2"/>
          </rPr>
          <t>Martens:</t>
        </r>
        <r>
          <rPr>
            <sz val="8"/>
            <color indexed="81"/>
            <rFont val="Tahoma"/>
            <family val="2"/>
          </rPr>
          <t xml:space="preserve">
Rbk 4.3.3 lid 1: Partijkeuringen zijn toegestaan als milieuhygiënische verklaring voor de kwaliteit van de toe te passen grond of baggerspecie, mits deze zijn gebaseerd op: 
a. een vooronderzoek overeenkomstig NEN 5725, onderscheidenlijk NEN 5717, naar eventuele </t>
        </r>
        <r>
          <rPr>
            <b/>
            <sz val="8"/>
            <color indexed="81"/>
            <rFont val="Tahoma"/>
            <family val="2"/>
          </rPr>
          <t>specifieke verontreinigingen</t>
        </r>
        <r>
          <rPr>
            <sz val="8"/>
            <color indexed="81"/>
            <rFont val="Tahoma"/>
            <family val="2"/>
          </rPr>
          <t xml:space="preserve"> die op grond van de ontstaansgeschiedenis van de partij kunnen worden verwacht en een onderzoek van die stoffen in de partijkeuring [niet voor BRL samengevogde partijen]; 
</t>
        </r>
      </text>
    </comment>
    <comment ref="B50" authorId="0">
      <text>
        <r>
          <rPr>
            <b/>
            <sz val="8"/>
            <color indexed="81"/>
            <rFont val="Tahoma"/>
            <family val="2"/>
          </rPr>
          <t>Martens:</t>
        </r>
        <r>
          <rPr>
            <sz val="8"/>
            <color indexed="81"/>
            <rFont val="Tahoma"/>
            <family val="2"/>
          </rPr>
          <t xml:space="preserve">
Bbk, art. 63: GBT valt onder de toepassingen onder 35.a, c tot en met e.
(Opm. een toepassing onder 35.b kan dus niet met een GBT gerealiseerd worden!)</t>
        </r>
      </text>
    </comment>
    <comment ref="J50" authorId="0">
      <text>
        <r>
          <rPr>
            <b/>
            <sz val="8"/>
            <color indexed="81"/>
            <rFont val="Tahoma"/>
            <family val="2"/>
          </rPr>
          <t>Martens:</t>
        </r>
        <r>
          <rPr>
            <sz val="8"/>
            <color indexed="81"/>
            <rFont val="Tahoma"/>
            <family val="2"/>
          </rPr>
          <t xml:space="preserve">
ruimte voor opmerkingen</t>
        </r>
      </text>
    </comment>
    <comment ref="J53" authorId="0">
      <text>
        <r>
          <rPr>
            <b/>
            <sz val="8"/>
            <color indexed="81"/>
            <rFont val="Tahoma"/>
            <family val="2"/>
          </rPr>
          <t>Martens:</t>
        </r>
        <r>
          <rPr>
            <sz val="8"/>
            <color indexed="81"/>
            <rFont val="Tahoma"/>
            <family val="2"/>
          </rPr>
          <t xml:space="preserve">
ruimte voor opmerkingen</t>
        </r>
      </text>
    </comment>
    <comment ref="G57" authorId="0">
      <text>
        <r>
          <rPr>
            <b/>
            <sz val="8"/>
            <color indexed="81"/>
            <rFont val="Tahoma"/>
            <family val="2"/>
          </rPr>
          <t>Martens:</t>
        </r>
        <r>
          <rPr>
            <sz val="8"/>
            <color indexed="81"/>
            <rFont val="Tahoma"/>
            <family val="2"/>
          </rPr>
          <t xml:space="preserve">
ruimte voor opmerkingen</t>
        </r>
      </text>
    </comment>
  </commentList>
</comments>
</file>

<file path=xl/sharedStrings.xml><?xml version="1.0" encoding="utf-8"?>
<sst xmlns="http://schemas.openxmlformats.org/spreadsheetml/2006/main" count="296" uniqueCount="221">
  <si>
    <t>Bevoegd gezag:</t>
  </si>
  <si>
    <t>Melder/Toepasser:</t>
  </si>
  <si>
    <t>Partijcode:</t>
  </si>
  <si>
    <t>aantal m3 gemeld:</t>
  </si>
  <si>
    <t>aantal ton gemeld:</t>
  </si>
  <si>
    <t>Toepassingslocatie:</t>
  </si>
  <si>
    <t>aantal m3 onderzocht:</t>
  </si>
  <si>
    <t>aantal ton onderzocht:</t>
  </si>
  <si>
    <t>dichtheid:</t>
  </si>
  <si>
    <t>Opdrachtgever/ontdoener:</t>
  </si>
  <si>
    <t>Melding d.d.:</t>
  </si>
  <si>
    <t>Toepassing d.d.:</t>
  </si>
  <si>
    <t>d.d. behandeld:</t>
  </si>
  <si>
    <t>d.d. ontvangen:</t>
  </si>
  <si>
    <t>Erkend monsternemer:</t>
  </si>
  <si>
    <t>Erkenning o.k.?</t>
  </si>
  <si>
    <t>Functiescheiding o.k.?</t>
  </si>
  <si>
    <t>logo kwaliteitswaarborg</t>
  </si>
  <si>
    <t>NL-BSB logo</t>
  </si>
  <si>
    <t>anders:</t>
  </si>
  <si>
    <t>Onderzocht</t>
  </si>
  <si>
    <t>AP04/VKB1001 protocol</t>
  </si>
  <si>
    <t>+ As</t>
  </si>
  <si>
    <t>+ Cr</t>
  </si>
  <si>
    <t>visueel</t>
  </si>
  <si>
    <t>zeving</t>
  </si>
  <si>
    <t>controle op asbest:</t>
  </si>
  <si>
    <t>vervolgkeuze ↓</t>
  </si>
  <si>
    <t>in-situ</t>
  </si>
  <si>
    <t>ex-situ</t>
  </si>
  <si>
    <t>D95 &lt; 16 mm</t>
  </si>
  <si>
    <t>D95 &gt; 16 mm =</t>
  </si>
  <si>
    <t>mate van homogeniteit</t>
  </si>
  <si>
    <t>depotinspectie</t>
  </si>
  <si>
    <t>veldinspectie</t>
  </si>
  <si>
    <t>depotinspectie en proefboringen</t>
  </si>
  <si>
    <t>veldinspectie en proefboringen</t>
  </si>
  <si>
    <t>proefboringen</t>
  </si>
  <si>
    <t>Aantal deelpartijen:</t>
  </si>
  <si>
    <t>Resultaten onderzoekspakket</t>
  </si>
  <si>
    <t>puin</t>
  </si>
  <si>
    <t>sintels</t>
  </si>
  <si>
    <t>organisch</t>
  </si>
  <si>
    <t>asfalt</t>
  </si>
  <si>
    <t>asbest</t>
  </si>
  <si>
    <t>uitloging:</t>
  </si>
  <si>
    <t>AW2000</t>
  </si>
  <si>
    <t>wonen</t>
  </si>
  <si>
    <t>industrie</t>
  </si>
  <si>
    <t>niet-toepasbaar</t>
  </si>
  <si>
    <t>voldoet aan eisen GBT</t>
  </si>
  <si>
    <t>kan aan bestaande GBT toegevoegd worden</t>
  </si>
  <si>
    <t>niet toepasbaar in GBT</t>
  </si>
  <si>
    <t>Behandelend ambtenaar (BA):</t>
  </si>
  <si>
    <t>Bevinding Meldingsformulier AgentschapNL</t>
  </si>
  <si>
    <t>wordt er voldaan a/d eisen voor publiek toezicht op partijkeuringen (SIKB S_13_54630)?:</t>
  </si>
  <si>
    <t>ja</t>
  </si>
  <si>
    <t>nee</t>
  </si>
  <si>
    <t>Overige</t>
  </si>
  <si>
    <t>Opmerkingen:</t>
  </si>
  <si>
    <t>Toepassing in/op:</t>
  </si>
  <si>
    <t>Functioneel</t>
  </si>
  <si>
    <t>Niet-functioneel</t>
  </si>
  <si>
    <t>Toepassing</t>
  </si>
  <si>
    <t>Resulteert in toepassingseis:</t>
  </si>
  <si>
    <t>Conclusie</t>
  </si>
  <si>
    <t>aanv. kritische parameters:</t>
  </si>
  <si>
    <t>Conclusie kwaliteit</t>
  </si>
  <si>
    <t>Functionaliteit v/d toepassing:</t>
  </si>
  <si>
    <t>m3</t>
  </si>
  <si>
    <t>ton</t>
  </si>
  <si>
    <t>ton/m3</t>
  </si>
  <si>
    <t>homogeen</t>
  </si>
  <si>
    <t>voldoende homogeen</t>
  </si>
  <si>
    <t>onvoldoende homogeen</t>
  </si>
  <si>
    <t>niet homogeen</t>
  </si>
  <si>
    <t>homogeniteitsbepaling</t>
  </si>
  <si>
    <t>niet bepaald</t>
  </si>
  <si>
    <t>Samenvatting bevindingen melding(formulier)</t>
  </si>
  <si>
    <t>BEE</t>
  </si>
  <si>
    <t>BRU</t>
  </si>
  <si>
    <t>FM</t>
  </si>
  <si>
    <t>FM Frank Michiels</t>
  </si>
  <si>
    <t>Eij-Mar</t>
  </si>
  <si>
    <t>Gul-Wit</t>
  </si>
  <si>
    <t>LM</t>
  </si>
  <si>
    <t>LM Laurens Martens</t>
  </si>
  <si>
    <t>HEE</t>
  </si>
  <si>
    <t>MP</t>
  </si>
  <si>
    <t>MP Marianne Peerebooms-Meessen</t>
  </si>
  <si>
    <t>KER</t>
  </si>
  <si>
    <t>LAN</t>
  </si>
  <si>
    <t>TB</t>
  </si>
  <si>
    <t>TB Theo Bovens</t>
  </si>
  <si>
    <t>MAA</t>
  </si>
  <si>
    <t>MEE</t>
  </si>
  <si>
    <t>NUT</t>
  </si>
  <si>
    <t>OND</t>
  </si>
  <si>
    <t>SCH</t>
  </si>
  <si>
    <t>SIM</t>
  </si>
  <si>
    <t>Sit-Gel</t>
  </si>
  <si>
    <t>STE</t>
  </si>
  <si>
    <t>VAA</t>
  </si>
  <si>
    <t>VAL</t>
  </si>
  <si>
    <t>VOE</t>
  </si>
  <si>
    <t>PRV</t>
  </si>
  <si>
    <t>volgt</t>
  </si>
  <si>
    <t>m-mv</t>
  </si>
  <si>
    <t>aantal grepen (a X b):</t>
  </si>
  <si>
    <t>soort</t>
  </si>
  <si>
    <t>%</t>
  </si>
  <si>
    <t>geen</t>
  </si>
  <si>
    <t>plastic</t>
  </si>
  <si>
    <t>divers</t>
  </si>
  <si>
    <t>geen asbestverd. mat. waargenomen</t>
  </si>
  <si>
    <t>wel asbestverd. mat. waargenomen</t>
  </si>
  <si>
    <t>N,T-AW2000</t>
  </si>
  <si>
    <t>beoordeling v/d melding gekoppeld aan de melding bij Meldpunt bodemkwaliteit?, datum:</t>
  </si>
  <si>
    <t>kooltjes</t>
  </si>
  <si>
    <t>GBT:</t>
  </si>
  <si>
    <t>BA - resultaat/conclusie Bbk:</t>
  </si>
  <si>
    <t>e-mail</t>
  </si>
  <si>
    <t>fax</t>
  </si>
  <si>
    <t>post</t>
  </si>
  <si>
    <t>onderzoek, zie opm. ↓</t>
  </si>
  <si>
    <t>onbekend, zie opm. ↓</t>
  </si>
  <si>
    <t>melding voldoet aan de eisen</t>
  </si>
  <si>
    <t>niet alle wettelijk verplicht velden zijn ingevuld</t>
  </si>
  <si>
    <t>de ingevulde datum voldoet niet aan de wettelijke eisen</t>
  </si>
  <si>
    <t>melding voldoet niet aan de eisen, zie opm.  ↓</t>
  </si>
  <si>
    <t>foutbericht:</t>
  </si>
  <si>
    <t>invoerbericht</t>
  </si>
  <si>
    <t>Foutmelding</t>
  </si>
  <si>
    <t>Vervolgkeuze geeft een lijst van mogelijke keuzes waaruit gekozen kan worden. In sommige gevallen is invoer van eigen gegevens toch mogelijk.</t>
  </si>
  <si>
    <t>Ja, ongeldige gegevens invoeren. Nee, cel verder bewerken. Annuleren, vorige waarde herstellen.</t>
  </si>
  <si>
    <t>Datum monstername:</t>
  </si>
  <si>
    <t>Niet alle wettelijk verplichte velden zijn ingevuld.</t>
  </si>
  <si>
    <t>Alle wettelijk verplichte velden zijn ingevuld</t>
  </si>
  <si>
    <t>De ingevulde datum van toepassing voldoet niet aan de wettelijke vereisten voor het tijdig indienen van een melding</t>
  </si>
  <si>
    <t>De ingevulde datum van toepassing voldoet aan de wettelijke vereisten voor het tijdig indienen van een melding</t>
  </si>
  <si>
    <t>Besluit Bodemkwaliteit</t>
  </si>
  <si>
    <t>Beek</t>
  </si>
  <si>
    <t>Brunssum</t>
  </si>
  <si>
    <t>Eijsden-Margraten</t>
  </si>
  <si>
    <t>Gulpen-Wittem</t>
  </si>
  <si>
    <t>Heerlen</t>
  </si>
  <si>
    <t>Kerkrade</t>
  </si>
  <si>
    <t>Landgraaf</t>
  </si>
  <si>
    <t>Maastricht</t>
  </si>
  <si>
    <t>Meerssen</t>
  </si>
  <si>
    <t>Nuth</t>
  </si>
  <si>
    <t>Onderbanken</t>
  </si>
  <si>
    <t>Schinnen</t>
  </si>
  <si>
    <t>Simpelveld</t>
  </si>
  <si>
    <t>Sittard-Geleen</t>
  </si>
  <si>
    <t>Stein</t>
  </si>
  <si>
    <t>Vaals</t>
  </si>
  <si>
    <t>Valkenburg a/d Geul</t>
  </si>
  <si>
    <t>Voerendaal</t>
  </si>
  <si>
    <t>IMD-BNS</t>
  </si>
  <si>
    <t>Provincie Limburg</t>
  </si>
  <si>
    <t>RD</t>
  </si>
  <si>
    <t>RD Rene Denis</t>
  </si>
  <si>
    <t>Code</t>
  </si>
  <si>
    <t>Plaatje</t>
  </si>
  <si>
    <t>Resultaat</t>
  </si>
  <si>
    <t>rud limburg noord</t>
  </si>
  <si>
    <t>rud limburg zuid</t>
  </si>
  <si>
    <t>Mook en Middelaar</t>
  </si>
  <si>
    <t>Gennep</t>
  </si>
  <si>
    <t>Bergen</t>
  </si>
  <si>
    <t>Venray</t>
  </si>
  <si>
    <t>Horst aan de Maas</t>
  </si>
  <si>
    <t>Venlo</t>
  </si>
  <si>
    <t>Peel en Maas</t>
  </si>
  <si>
    <t>Nederweert</t>
  </si>
  <si>
    <t>Beesel</t>
  </si>
  <si>
    <t>Leudal</t>
  </si>
  <si>
    <t>Weert</t>
  </si>
  <si>
    <t>Roermond</t>
  </si>
  <si>
    <t>Maasgouw</t>
  </si>
  <si>
    <t>Roerdalen</t>
  </si>
  <si>
    <t>Echt-Susteren</t>
  </si>
  <si>
    <t>Servicecentrum MER</t>
  </si>
  <si>
    <t>BRL9335-1/AP04/VKB1001 protocol</t>
  </si>
  <si>
    <t>BRL9321/AP04/VKB1001 protocol</t>
  </si>
  <si>
    <t>AP04/VKB1002 protocol</t>
  </si>
  <si>
    <t>valt onder Bbp en BKK</t>
  </si>
  <si>
    <t>valt onder productcertificaat</t>
  </si>
  <si>
    <t>Melding- en zaaknummer:</t>
  </si>
  <si>
    <t>duplo evaluatie(Y):</t>
  </si>
  <si>
    <t>n.v.t. voor BRL9335-1</t>
  </si>
  <si>
    <t>toepasbare IBC-bouwstof</t>
  </si>
  <si>
    <t>toepasbare VG-bouwtsof</t>
  </si>
  <si>
    <t>toepasbare NVG-bouwstof</t>
  </si>
  <si>
    <t>Rekenblad toetsing partijkeuring grond Besluit bodemkwaliteit</t>
  </si>
  <si>
    <t>lichtblauwe velden zijn invulvelden</t>
  </si>
  <si>
    <t>Beoordeling</t>
  </si>
  <si>
    <t>Melding Bbk</t>
  </si>
  <si>
    <t>In dit rekenblad kunt u de bevindingen van een melding</t>
  </si>
  <si>
    <t>besluit Bodemkwaliteit optekenen en samenvatten.</t>
  </si>
  <si>
    <t>naar de melder.</t>
  </si>
  <si>
    <t>in deze velden kunt u een keuze maken uit een drop-down menu</t>
  </si>
  <si>
    <t>Tip: voeg een afrduk in pdf-formaat toe aan uw goed- dan wel afkeurbericht</t>
  </si>
  <si>
    <t xml:space="preserve">NB: de invulwaarden zijn niet beperkt tot het drop-down menu, invoer van eigen gegevens is mogelijk </t>
  </si>
  <si>
    <t>tip: wilt u dat een dergelijk veld geen vulkleur laat zien, vul dan een spatie in</t>
  </si>
  <si>
    <t>ED</t>
  </si>
  <si>
    <t>ED Eric van Dijk</t>
  </si>
  <si>
    <t>BL</t>
  </si>
  <si>
    <t>BL Bert Lie</t>
  </si>
  <si>
    <t>RO</t>
  </si>
  <si>
    <t>RO Robert van Oppen</t>
  </si>
  <si>
    <t>HA</t>
  </si>
  <si>
    <t>HA Henk Arends</t>
  </si>
  <si>
    <t>WS</t>
  </si>
  <si>
    <t>WS Werner von Scheibler</t>
  </si>
  <si>
    <t>U kunt met invullen beginnen op het tabblad 'Sbmf'</t>
  </si>
  <si>
    <t>Assistent monsternemer:</t>
  </si>
  <si>
    <t>geweigerd/afgekeurd</t>
  </si>
  <si>
    <t>goedgekeurd</t>
  </si>
  <si>
    <t>industrie &amp;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</si>
</sst>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3]d\ mmmm\ yyyy;@"/>
  </numFmts>
  <fonts count="2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theme="1"/>
      <name val="Arial"/>
      <family val="2"/>
    </font>
    <font>
      <b/>
      <sz val="9"/>
      <color rgb="FFFFFFFF"/>
      <name val="Verdana"/>
      <family val="2"/>
    </font>
    <font>
      <b/>
      <sz val="10"/>
      <color indexed="45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6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  <diagonal/>
    </border>
    <border>
      <left style="hair">
        <color indexed="55"/>
      </left>
      <right style="hair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11" fillId="0" borderId="12" applyNumberFormat="0" applyFill="0" applyAlignment="0" applyProtection="0"/>
    <xf numFmtId="0" fontId="12" fillId="0" borderId="0"/>
    <xf numFmtId="0" fontId="12" fillId="0" borderId="13" applyNumberFormat="0" applyFont="0" applyFill="0" applyAlignment="0" applyProtection="0"/>
    <xf numFmtId="0" fontId="12" fillId="0" borderId="14" applyNumberFormat="0" applyFont="0" applyFill="0" applyAlignment="0" applyProtection="0"/>
    <xf numFmtId="0" fontId="13" fillId="0" borderId="0" applyNumberFormat="0" applyFill="0" applyBorder="0" applyAlignment="0" applyProtection="0"/>
    <xf numFmtId="0" fontId="12" fillId="0" borderId="15" applyNumberFormat="0" applyFont="0" applyFill="0" applyAlignment="0" applyProtection="0"/>
    <xf numFmtId="0" fontId="2" fillId="0" borderId="0"/>
  </cellStyleXfs>
  <cellXfs count="126">
    <xf numFmtId="0" fontId="0" fillId="0" borderId="0" xfId="0"/>
    <xf numFmtId="0" fontId="6" fillId="0" borderId="8" xfId="0" applyFont="1" applyFill="1" applyBorder="1" applyAlignment="1">
      <alignment horizontal="left" vertical="top"/>
    </xf>
    <xf numFmtId="0" fontId="9" fillId="0" borderId="1" xfId="0" applyFont="1" applyFill="1" applyBorder="1"/>
    <xf numFmtId="0" fontId="6" fillId="0" borderId="2" xfId="0" applyFont="1" applyFill="1" applyBorder="1"/>
    <xf numFmtId="0" fontId="6" fillId="0" borderId="3" xfId="0" applyFont="1" applyFill="1" applyBorder="1"/>
    <xf numFmtId="0" fontId="6" fillId="0" borderId="4" xfId="0" applyFont="1" applyFill="1" applyBorder="1"/>
    <xf numFmtId="0" fontId="6" fillId="0" borderId="0" xfId="0" applyFont="1" applyFill="1" applyBorder="1"/>
    <xf numFmtId="164" fontId="6" fillId="0" borderId="0" xfId="0" applyNumberFormat="1" applyFont="1" applyFill="1" applyBorder="1"/>
    <xf numFmtId="0" fontId="6" fillId="0" borderId="5" xfId="0" applyFont="1" applyFill="1" applyBorder="1"/>
    <xf numFmtId="0" fontId="9" fillId="0" borderId="0" xfId="0" applyFont="1" applyFill="1" applyBorder="1"/>
    <xf numFmtId="0" fontId="9" fillId="0" borderId="4" xfId="0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0" fontId="6" fillId="0" borderId="0" xfId="0" quotePrefix="1" applyFont="1" applyFill="1" applyBorder="1"/>
    <xf numFmtId="164" fontId="6" fillId="0" borderId="5" xfId="0" applyNumberFormat="1" applyFont="1" applyFill="1" applyBorder="1" applyAlignment="1">
      <alignment horizontal="left" vertical="top"/>
    </xf>
    <xf numFmtId="0" fontId="6" fillId="0" borderId="1" xfId="0" applyFont="1" applyFill="1" applyBorder="1"/>
    <xf numFmtId="0" fontId="9" fillId="0" borderId="9" xfId="0" applyFont="1" applyFill="1" applyBorder="1"/>
    <xf numFmtId="0" fontId="6" fillId="0" borderId="11" xfId="0" applyFont="1" applyFill="1" applyBorder="1"/>
    <xf numFmtId="164" fontId="6" fillId="0" borderId="11" xfId="0" applyNumberFormat="1" applyFont="1" applyFill="1" applyBorder="1"/>
    <xf numFmtId="0" fontId="6" fillId="0" borderId="10" xfId="0" applyFont="1" applyFill="1" applyBorder="1"/>
    <xf numFmtId="0" fontId="6" fillId="0" borderId="0" xfId="0" applyNumberFormat="1" applyFont="1" applyFill="1" applyBorder="1"/>
    <xf numFmtId="0" fontId="6" fillId="0" borderId="8" xfId="0" applyFont="1" applyFill="1" applyBorder="1"/>
    <xf numFmtId="0" fontId="5" fillId="0" borderId="0" xfId="1"/>
    <xf numFmtId="0" fontId="5" fillId="0" borderId="0" xfId="1" applyAlignment="1">
      <alignment horizontal="center"/>
    </xf>
    <xf numFmtId="0" fontId="5" fillId="0" borderId="0" xfId="1" applyAlignment="1">
      <alignment horizontal="center" vertical="center"/>
    </xf>
    <xf numFmtId="0" fontId="10" fillId="0" borderId="0" xfId="1" applyFont="1"/>
    <xf numFmtId="0" fontId="4" fillId="0" borderId="0" xfId="1" applyFont="1" applyAlignment="1">
      <alignment horizontal="center" vertical="center"/>
    </xf>
    <xf numFmtId="0" fontId="9" fillId="0" borderId="3" xfId="0" applyFont="1" applyFill="1" applyBorder="1" applyAlignment="1">
      <alignment horizontal="right"/>
    </xf>
    <xf numFmtId="0" fontId="5" fillId="0" borderId="0" xfId="1" applyFill="1" applyAlignment="1">
      <alignment horizontal="center"/>
    </xf>
    <xf numFmtId="0" fontId="6" fillId="0" borderId="0" xfId="0" applyFont="1" applyFill="1" applyBorder="1" applyAlignment="1"/>
    <xf numFmtId="0" fontId="6" fillId="0" borderId="5" xfId="0" applyFont="1" applyFill="1" applyBorder="1" applyAlignment="1"/>
    <xf numFmtId="0" fontId="6" fillId="0" borderId="5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0" fontId="3" fillId="0" borderId="0" xfId="1" applyFont="1" applyAlignment="1">
      <alignment horizontal="center" vertical="center"/>
    </xf>
    <xf numFmtId="0" fontId="14" fillId="0" borderId="0" xfId="3" applyFont="1"/>
    <xf numFmtId="0" fontId="14" fillId="0" borderId="0" xfId="3" applyFont="1" applyAlignment="1">
      <alignment horizontal="center" vertical="center"/>
    </xf>
    <xf numFmtId="0" fontId="14" fillId="0" borderId="0" xfId="3" applyFont="1" applyBorder="1"/>
    <xf numFmtId="0" fontId="14" fillId="0" borderId="0" xfId="2" applyFont="1" applyBorder="1"/>
    <xf numFmtId="0" fontId="9" fillId="0" borderId="2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right"/>
    </xf>
    <xf numFmtId="0" fontId="15" fillId="0" borderId="2" xfId="0" applyFont="1" applyFill="1" applyBorder="1"/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0" fontId="0" fillId="2" borderId="0" xfId="0" applyFill="1" applyBorder="1"/>
    <xf numFmtId="0" fontId="19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0" fontId="21" fillId="2" borderId="0" xfId="0" applyFont="1" applyFill="1" applyBorder="1"/>
    <xf numFmtId="0" fontId="20" fillId="2" borderId="0" xfId="0" quotePrefix="1" applyFont="1" applyFill="1" applyBorder="1" applyAlignment="1">
      <alignment horizontal="left"/>
    </xf>
    <xf numFmtId="0" fontId="20" fillId="3" borderId="16" xfId="0" applyFont="1" applyFill="1" applyBorder="1" applyAlignment="1">
      <alignment horizontal="left"/>
    </xf>
    <xf numFmtId="0" fontId="6" fillId="0" borderId="16" xfId="0" applyFont="1" applyFill="1" applyBorder="1" applyAlignment="1"/>
    <xf numFmtId="14" fontId="6" fillId="0" borderId="0" xfId="0" applyNumberFormat="1" applyFont="1" applyFill="1" applyBorder="1"/>
    <xf numFmtId="0" fontId="15" fillId="0" borderId="0" xfId="0" applyFont="1" applyFill="1" applyBorder="1"/>
    <xf numFmtId="0" fontId="15" fillId="0" borderId="7" xfId="0" applyFont="1" applyFill="1" applyBorder="1"/>
    <xf numFmtId="0" fontId="16" fillId="2" borderId="0" xfId="0" applyFont="1" applyFill="1" applyBorder="1" applyAlignment="1">
      <alignment horizontal="left"/>
    </xf>
    <xf numFmtId="164" fontId="22" fillId="0" borderId="0" xfId="0" applyNumberFormat="1" applyFont="1" applyFill="1" applyBorder="1" applyAlignment="1">
      <alignment horizontal="left" vertical="top"/>
    </xf>
    <xf numFmtId="0" fontId="15" fillId="0" borderId="7" xfId="0" applyFont="1" applyFill="1" applyBorder="1" applyAlignment="1">
      <alignment horizontal="left" vertical="top" wrapText="1"/>
    </xf>
    <xf numFmtId="0" fontId="1" fillId="0" borderId="0" xfId="1" applyFont="1" applyAlignment="1">
      <alignment horizontal="center" vertical="center"/>
    </xf>
    <xf numFmtId="0" fontId="22" fillId="0" borderId="4" xfId="0" applyFont="1" applyFill="1" applyBorder="1"/>
    <xf numFmtId="0" fontId="16" fillId="2" borderId="0" xfId="0" applyFont="1" applyFill="1" applyBorder="1" applyAlignment="1">
      <alignment horizontal="left"/>
    </xf>
    <xf numFmtId="0" fontId="6" fillId="0" borderId="7" xfId="0" applyFont="1" applyFill="1" applyBorder="1" applyAlignment="1"/>
    <xf numFmtId="0" fontId="0" fillId="0" borderId="7" xfId="0" applyBorder="1" applyAlignment="1"/>
    <xf numFmtId="0" fontId="15" fillId="0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9" fillId="0" borderId="0" xfId="0" applyFont="1" applyFill="1" applyBorder="1" applyAlignment="1">
      <alignment horizontal="right"/>
    </xf>
    <xf numFmtId="0" fontId="6" fillId="0" borderId="0" xfId="0" applyFont="1" applyFill="1" applyBorder="1" applyAlignment="1"/>
    <xf numFmtId="0" fontId="6" fillId="0" borderId="5" xfId="0" applyFont="1" applyFill="1" applyBorder="1" applyAlignment="1"/>
    <xf numFmtId="0" fontId="6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wrapText="1"/>
    </xf>
    <xf numFmtId="0" fontId="15" fillId="0" borderId="5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2" fontId="6" fillId="0" borderId="0" xfId="0" applyNumberFormat="1" applyFont="1" applyFill="1" applyBorder="1" applyAlignment="1">
      <alignment horizontal="left" vertical="top"/>
    </xf>
    <xf numFmtId="0" fontId="6" fillId="0" borderId="8" xfId="0" applyFont="1" applyFill="1" applyBorder="1" applyAlignment="1"/>
    <xf numFmtId="0" fontId="9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1" xfId="0" applyFont="1" applyBorder="1" applyAlignment="1"/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164" fontId="22" fillId="0" borderId="0" xfId="0" applyNumberFormat="1" applyFont="1" applyFill="1" applyBorder="1" applyAlignment="1">
      <alignment horizontal="left" vertical="top"/>
    </xf>
    <xf numFmtId="0" fontId="22" fillId="0" borderId="5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0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2" fontId="6" fillId="0" borderId="7" xfId="0" applyNumberFormat="1" applyFont="1" applyFill="1" applyBorder="1" applyAlignment="1">
      <alignment horizontal="left" vertical="top"/>
    </xf>
    <xf numFmtId="0" fontId="6" fillId="0" borderId="6" xfId="0" applyFont="1" applyFill="1" applyBorder="1" applyAlignment="1"/>
    <xf numFmtId="0" fontId="6" fillId="0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6" fillId="0" borderId="3" xfId="0" applyFont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top" wrapText="1"/>
    </xf>
    <xf numFmtId="0" fontId="15" fillId="0" borderId="6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top" wrapText="1"/>
    </xf>
    <xf numFmtId="0" fontId="15" fillId="0" borderId="8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9">
    <cellStyle name="Standaard" xfId="0" builtinId="0"/>
    <cellStyle name="Standaard 2" xfId="1"/>
    <cellStyle name="Standaard 3" xfId="3"/>
    <cellStyle name="Standaard 4" xfId="8"/>
    <cellStyle name="tabelcel" xfId="4"/>
    <cellStyle name="tabeleind" xfId="5"/>
    <cellStyle name="tabelkop" xfId="2"/>
    <cellStyle name="tabeltitel" xfId="6"/>
    <cellStyle name="tabeltotaal" xfId="7"/>
  </cellStyles>
  <dxfs count="31">
    <dxf>
      <fill>
        <patternFill>
          <bgColor theme="4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AA28" lockText="1"/>
</file>

<file path=xl/ctrlProps/ctrlProp10.xml><?xml version="1.0" encoding="utf-8"?>
<formControlPr xmlns="http://schemas.microsoft.com/office/spreadsheetml/2009/9/main" objectType="CheckBox" fmlaLink="AA37" lockText="1"/>
</file>

<file path=xl/ctrlProps/ctrlProp11.xml><?xml version="1.0" encoding="utf-8"?>
<formControlPr xmlns="http://schemas.microsoft.com/office/spreadsheetml/2009/9/main" objectType="CheckBox" fmlaLink="AA38" lockText="1"/>
</file>

<file path=xl/ctrlProps/ctrlProp12.xml><?xml version="1.0" encoding="utf-8"?>
<formControlPr xmlns="http://schemas.microsoft.com/office/spreadsheetml/2009/9/main" objectType="CheckBox" fmlaLink="AA40" lockText="1"/>
</file>

<file path=xl/ctrlProps/ctrlProp13.xml><?xml version="1.0" encoding="utf-8"?>
<formControlPr xmlns="http://schemas.microsoft.com/office/spreadsheetml/2009/9/main" objectType="CheckBox" fmlaLink="AA41" lockText="1"/>
</file>

<file path=xl/ctrlProps/ctrlProp14.xml><?xml version="1.0" encoding="utf-8"?>
<formControlPr xmlns="http://schemas.microsoft.com/office/spreadsheetml/2009/9/main" objectType="CheckBox" fmlaLink="AB38" lockText="1"/>
</file>

<file path=xl/ctrlProps/ctrlProp15.xml><?xml version="1.0" encoding="utf-8"?>
<formControlPr xmlns="http://schemas.microsoft.com/office/spreadsheetml/2009/9/main" objectType="CheckBox" fmlaLink="AA45" lockText="1"/>
</file>

<file path=xl/ctrlProps/ctrlProp16.xml><?xml version="1.0" encoding="utf-8"?>
<formControlPr xmlns="http://schemas.microsoft.com/office/spreadsheetml/2009/9/main" objectType="CheckBox" fmlaLink="AA46" lockText="1"/>
</file>

<file path=xl/ctrlProps/ctrlProp17.xml><?xml version="1.0" encoding="utf-8"?>
<formControlPr xmlns="http://schemas.microsoft.com/office/spreadsheetml/2009/9/main" objectType="CheckBox" fmlaLink="AA53" lockText="1"/>
</file>

<file path=xl/ctrlProps/ctrlProp18.xml><?xml version="1.0" encoding="utf-8"?>
<formControlPr xmlns="http://schemas.microsoft.com/office/spreadsheetml/2009/9/main" objectType="CheckBox" fmlaLink="AB50" lockText="1"/>
</file>

<file path=xl/ctrlProps/ctrlProp19.xml><?xml version="1.0" encoding="utf-8"?>
<formControlPr xmlns="http://schemas.microsoft.com/office/spreadsheetml/2009/9/main" objectType="CheckBox" fmlaLink="AB51" lockText="1"/>
</file>

<file path=xl/ctrlProps/ctrlProp2.xml><?xml version="1.0" encoding="utf-8"?>
<formControlPr xmlns="http://schemas.microsoft.com/office/spreadsheetml/2009/9/main" objectType="CheckBox" fmlaLink="AA29" lockText="1"/>
</file>

<file path=xl/ctrlProps/ctrlProp20.xml><?xml version="1.0" encoding="utf-8"?>
<formControlPr xmlns="http://schemas.microsoft.com/office/spreadsheetml/2009/9/main" objectType="CheckBox" fmlaLink="AB52" lockText="1"/>
</file>

<file path=xl/ctrlProps/ctrlProp21.xml><?xml version="1.0" encoding="utf-8"?>
<formControlPr xmlns="http://schemas.microsoft.com/office/spreadsheetml/2009/9/main" objectType="CheckBox" fmlaLink="AB53" lockText="1"/>
</file>

<file path=xl/ctrlProps/ctrlProp22.xml><?xml version="1.0" encoding="utf-8"?>
<formControlPr xmlns="http://schemas.microsoft.com/office/spreadsheetml/2009/9/main" objectType="CheckBox" fmlaLink="AB54" lockText="1"/>
</file>

<file path=xl/ctrlProps/ctrlProp23.xml><?xml version="1.0" encoding="utf-8"?>
<formControlPr xmlns="http://schemas.microsoft.com/office/spreadsheetml/2009/9/main" objectType="CheckBox" fmlaLink="AB55" lockText="1"/>
</file>

<file path=xl/ctrlProps/ctrlProp24.xml><?xml version="1.0" encoding="utf-8"?>
<formControlPr xmlns="http://schemas.microsoft.com/office/spreadsheetml/2009/9/main" objectType="CheckBox" checked="Checked" fmlaLink="AC18" lockText="1"/>
</file>

<file path=xl/ctrlProps/ctrlProp25.xml><?xml version="1.0" encoding="utf-8"?>
<formControlPr xmlns="http://schemas.microsoft.com/office/spreadsheetml/2009/9/main" objectType="CheckBox" fmlaLink="AC19" lockText="1"/>
</file>

<file path=xl/ctrlProps/ctrlProp26.xml><?xml version="1.0" encoding="utf-8"?>
<formControlPr xmlns="http://schemas.microsoft.com/office/spreadsheetml/2009/9/main" objectType="CheckBox" fmlaLink="AC20" lockText="1"/>
</file>

<file path=xl/ctrlProps/ctrlProp27.xml><?xml version="1.0" encoding="utf-8"?>
<formControlPr xmlns="http://schemas.microsoft.com/office/spreadsheetml/2009/9/main" objectType="CheckBox" fmlaLink="AC26" lockText="1"/>
</file>

<file path=xl/ctrlProps/ctrlProp28.xml><?xml version="1.0" encoding="utf-8"?>
<formControlPr xmlns="http://schemas.microsoft.com/office/spreadsheetml/2009/9/main" objectType="CheckBox" fmlaLink="AC27" lockText="1"/>
</file>

<file path=xl/ctrlProps/ctrlProp29.xml><?xml version="1.0" encoding="utf-8"?>
<formControlPr xmlns="http://schemas.microsoft.com/office/spreadsheetml/2009/9/main" objectType="CheckBox" fmlaLink="AC28" lockText="1"/>
</file>

<file path=xl/ctrlProps/ctrlProp3.xml><?xml version="1.0" encoding="utf-8"?>
<formControlPr xmlns="http://schemas.microsoft.com/office/spreadsheetml/2009/9/main" objectType="CheckBox" fmlaLink="AA30" lockText="1"/>
</file>

<file path=xl/ctrlProps/ctrlProp30.xml><?xml version="1.0" encoding="utf-8"?>
<formControlPr xmlns="http://schemas.microsoft.com/office/spreadsheetml/2009/9/main" objectType="CheckBox" fmlaLink="AC30" lockText="1"/>
</file>

<file path=xl/ctrlProps/ctrlProp31.xml><?xml version="1.0" encoding="utf-8"?>
<formControlPr xmlns="http://schemas.microsoft.com/office/spreadsheetml/2009/9/main" objectType="CheckBox" fmlaLink="AC31" lockText="1"/>
</file>

<file path=xl/ctrlProps/ctrlProp32.xml><?xml version="1.0" encoding="utf-8"?>
<formControlPr xmlns="http://schemas.microsoft.com/office/spreadsheetml/2009/9/main" objectType="CheckBox" fmlaLink="AC38" lockText="1"/>
</file>

<file path=xl/ctrlProps/ctrlProp33.xml><?xml version="1.0" encoding="utf-8"?>
<formControlPr xmlns="http://schemas.microsoft.com/office/spreadsheetml/2009/9/main" objectType="CheckBox" fmlaLink="AA50" lockText="1"/>
</file>

<file path=xl/ctrlProps/ctrlProp34.xml><?xml version="1.0" encoding="utf-8"?>
<formControlPr xmlns="http://schemas.microsoft.com/office/spreadsheetml/2009/9/main" objectType="CheckBox" fmlaLink="AA26" lockText="1"/>
</file>

<file path=xl/ctrlProps/ctrlProp35.xml><?xml version="1.0" encoding="utf-8"?>
<formControlPr xmlns="http://schemas.microsoft.com/office/spreadsheetml/2009/9/main" objectType="CheckBox" fmlaLink="AA43" lockText="1"/>
</file>

<file path=xl/ctrlProps/ctrlProp4.xml><?xml version="1.0" encoding="utf-8"?>
<formControlPr xmlns="http://schemas.microsoft.com/office/spreadsheetml/2009/9/main" objectType="CheckBox" fmlaLink="AA31" lockText="1"/>
</file>

<file path=xl/ctrlProps/ctrlProp5.xml><?xml version="1.0" encoding="utf-8"?>
<formControlPr xmlns="http://schemas.microsoft.com/office/spreadsheetml/2009/9/main" objectType="CheckBox" fmlaLink="AA32" lockText="1"/>
</file>

<file path=xl/ctrlProps/ctrlProp6.xml><?xml version="1.0" encoding="utf-8"?>
<formControlPr xmlns="http://schemas.microsoft.com/office/spreadsheetml/2009/9/main" objectType="CheckBox" fmlaLink="AA33" lockText="1"/>
</file>

<file path=xl/ctrlProps/ctrlProp7.xml><?xml version="1.0" encoding="utf-8"?>
<formControlPr xmlns="http://schemas.microsoft.com/office/spreadsheetml/2009/9/main" objectType="CheckBox" fmlaLink="AA34" lockText="1"/>
</file>

<file path=xl/ctrlProps/ctrlProp8.xml><?xml version="1.0" encoding="utf-8"?>
<formControlPr xmlns="http://schemas.microsoft.com/office/spreadsheetml/2009/9/main" objectType="CheckBox" fmlaLink="AA35" lockText="1"/>
</file>

<file path=xl/ctrlProps/ctrlProp9.xml><?xml version="1.0" encoding="utf-8"?>
<formControlPr xmlns="http://schemas.microsoft.com/office/spreadsheetml/2009/9/main" objectType="CheckBox" fmlaLink="AA36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13" Type="http://schemas.openxmlformats.org/officeDocument/2006/relationships/image" Target="../media/image19.png"/><Relationship Id="rId18" Type="http://schemas.openxmlformats.org/officeDocument/2006/relationships/image" Target="../media/image24.png"/><Relationship Id="rId26" Type="http://schemas.openxmlformats.org/officeDocument/2006/relationships/image" Target="../media/image32.png"/><Relationship Id="rId3" Type="http://schemas.openxmlformats.org/officeDocument/2006/relationships/image" Target="../media/image9.png"/><Relationship Id="rId21" Type="http://schemas.openxmlformats.org/officeDocument/2006/relationships/image" Target="../media/image27.jpeg"/><Relationship Id="rId34" Type="http://schemas.openxmlformats.org/officeDocument/2006/relationships/image" Target="../media/image40.png"/><Relationship Id="rId7" Type="http://schemas.openxmlformats.org/officeDocument/2006/relationships/image" Target="../media/image13.gif"/><Relationship Id="rId12" Type="http://schemas.openxmlformats.org/officeDocument/2006/relationships/image" Target="../media/image18.jpeg"/><Relationship Id="rId17" Type="http://schemas.openxmlformats.org/officeDocument/2006/relationships/image" Target="../media/image23.png"/><Relationship Id="rId25" Type="http://schemas.openxmlformats.org/officeDocument/2006/relationships/image" Target="../media/image31.png"/><Relationship Id="rId33" Type="http://schemas.openxmlformats.org/officeDocument/2006/relationships/image" Target="../media/image39.png"/><Relationship Id="rId2" Type="http://schemas.openxmlformats.org/officeDocument/2006/relationships/image" Target="../media/image8.gif"/><Relationship Id="rId16" Type="http://schemas.openxmlformats.org/officeDocument/2006/relationships/image" Target="../media/image22.png"/><Relationship Id="rId20" Type="http://schemas.openxmlformats.org/officeDocument/2006/relationships/image" Target="../media/image26.png"/><Relationship Id="rId29" Type="http://schemas.openxmlformats.org/officeDocument/2006/relationships/image" Target="../media/image35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11" Type="http://schemas.openxmlformats.org/officeDocument/2006/relationships/image" Target="../media/image17.png"/><Relationship Id="rId24" Type="http://schemas.openxmlformats.org/officeDocument/2006/relationships/image" Target="../media/image30.png"/><Relationship Id="rId32" Type="http://schemas.openxmlformats.org/officeDocument/2006/relationships/image" Target="../media/image38.png"/><Relationship Id="rId37" Type="http://schemas.openxmlformats.org/officeDocument/2006/relationships/image" Target="../media/image43.png"/><Relationship Id="rId5" Type="http://schemas.openxmlformats.org/officeDocument/2006/relationships/image" Target="../media/image11.png"/><Relationship Id="rId15" Type="http://schemas.openxmlformats.org/officeDocument/2006/relationships/image" Target="../media/image21.png"/><Relationship Id="rId23" Type="http://schemas.openxmlformats.org/officeDocument/2006/relationships/image" Target="../media/image29.png"/><Relationship Id="rId28" Type="http://schemas.openxmlformats.org/officeDocument/2006/relationships/image" Target="../media/image34.png"/><Relationship Id="rId36" Type="http://schemas.openxmlformats.org/officeDocument/2006/relationships/image" Target="../media/image42.jpeg"/><Relationship Id="rId10" Type="http://schemas.openxmlformats.org/officeDocument/2006/relationships/image" Target="../media/image16.png"/><Relationship Id="rId19" Type="http://schemas.openxmlformats.org/officeDocument/2006/relationships/image" Target="../media/image25.jpeg"/><Relationship Id="rId31" Type="http://schemas.openxmlformats.org/officeDocument/2006/relationships/image" Target="../media/image37.png"/><Relationship Id="rId4" Type="http://schemas.openxmlformats.org/officeDocument/2006/relationships/image" Target="../media/image10.png"/><Relationship Id="rId9" Type="http://schemas.openxmlformats.org/officeDocument/2006/relationships/image" Target="../media/image15.png"/><Relationship Id="rId14" Type="http://schemas.openxmlformats.org/officeDocument/2006/relationships/image" Target="../media/image20.jpeg"/><Relationship Id="rId22" Type="http://schemas.openxmlformats.org/officeDocument/2006/relationships/image" Target="../media/image28.png"/><Relationship Id="rId27" Type="http://schemas.openxmlformats.org/officeDocument/2006/relationships/image" Target="../media/image33.jpeg"/><Relationship Id="rId30" Type="http://schemas.openxmlformats.org/officeDocument/2006/relationships/image" Target="../media/image36.png"/><Relationship Id="rId35" Type="http://schemas.openxmlformats.org/officeDocument/2006/relationships/image" Target="../media/image4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45.png"/><Relationship Id="rId1" Type="http://schemas.openxmlformats.org/officeDocument/2006/relationships/image" Target="../media/image44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85724</xdr:rowOff>
    </xdr:from>
    <xdr:to>
      <xdr:col>7</xdr:col>
      <xdr:colOff>597694</xdr:colOff>
      <xdr:row>6</xdr:row>
      <xdr:rowOff>76199</xdr:rowOff>
    </xdr:to>
    <xdr:pic>
      <xdr:nvPicPr>
        <xdr:cNvPr id="2" name="Picture 1" descr="LogoKleur20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190499"/>
          <a:ext cx="4569619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447675</xdr:colOff>
      <xdr:row>6</xdr:row>
      <xdr:rowOff>95250</xdr:rowOff>
    </xdr:from>
    <xdr:to>
      <xdr:col>14</xdr:col>
      <xdr:colOff>504825</xdr:colOff>
      <xdr:row>16</xdr:row>
      <xdr:rowOff>38100</xdr:rowOff>
    </xdr:to>
    <xdr:pic>
      <xdr:nvPicPr>
        <xdr:cNvPr id="3" name="Afbeelding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53275" y="828675"/>
          <a:ext cx="1885950" cy="18669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</xdr:row>
          <xdr:rowOff>47625</xdr:rowOff>
        </xdr:from>
        <xdr:to>
          <xdr:col>10</xdr:col>
          <xdr:colOff>676275</xdr:colOff>
          <xdr:row>5</xdr:row>
          <xdr:rowOff>28575</xdr:rowOff>
        </xdr:to>
        <xdr:pic>
          <xdr:nvPicPr>
            <xdr:cNvPr id="1257" name="Afbeelding 13"/>
            <xdr:cNvPicPr>
              <a:picLocks noChangeAspect="1"/>
              <a:extLst>
                <a:ext uri="{84589F7E-364E-4C9E-8A38-B11213B215E9}">
                  <a14:cameraTool cellRange="Logo" spid="_x0000_s156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00450" y="209550"/>
              <a:ext cx="2647950" cy="6286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4</xdr:row>
          <xdr:rowOff>47625</xdr:rowOff>
        </xdr:from>
        <xdr:to>
          <xdr:col>11</xdr:col>
          <xdr:colOff>0</xdr:colOff>
          <xdr:row>8</xdr:row>
          <xdr:rowOff>0</xdr:rowOff>
        </xdr:to>
        <xdr:pic>
          <xdr:nvPicPr>
            <xdr:cNvPr id="1258" name="Picture 234"/>
            <xdr:cNvPicPr preferRelativeResize="0">
              <a:picLocks noChangeArrowheads="1"/>
              <a:extLst>
                <a:ext uri="{84589F7E-364E-4C9E-8A38-B11213B215E9}">
                  <a14:cameraTool cellRange="Zoek_Figuur" spid="_x0000_s156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372100" y="695325"/>
              <a:ext cx="1276350" cy="6000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26</xdr:row>
          <xdr:rowOff>142875</xdr:rowOff>
        </xdr:from>
        <xdr:to>
          <xdr:col>1</xdr:col>
          <xdr:colOff>0</xdr:colOff>
          <xdr:row>28</xdr:row>
          <xdr:rowOff>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27</xdr:row>
          <xdr:rowOff>142875</xdr:rowOff>
        </xdr:from>
        <xdr:to>
          <xdr:col>1</xdr:col>
          <xdr:colOff>0</xdr:colOff>
          <xdr:row>29</xdr:row>
          <xdr:rowOff>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28</xdr:row>
          <xdr:rowOff>142875</xdr:rowOff>
        </xdr:from>
        <xdr:to>
          <xdr:col>1</xdr:col>
          <xdr:colOff>0</xdr:colOff>
          <xdr:row>30</xdr:row>
          <xdr:rowOff>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29</xdr:row>
          <xdr:rowOff>142875</xdr:rowOff>
        </xdr:from>
        <xdr:to>
          <xdr:col>1</xdr:col>
          <xdr:colOff>0</xdr:colOff>
          <xdr:row>31</xdr:row>
          <xdr:rowOff>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30</xdr:row>
          <xdr:rowOff>142875</xdr:rowOff>
        </xdr:from>
        <xdr:to>
          <xdr:col>1</xdr:col>
          <xdr:colOff>0</xdr:colOff>
          <xdr:row>32</xdr:row>
          <xdr:rowOff>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31</xdr:row>
          <xdr:rowOff>142875</xdr:rowOff>
        </xdr:from>
        <xdr:to>
          <xdr:col>1</xdr:col>
          <xdr:colOff>0</xdr:colOff>
          <xdr:row>33</xdr:row>
          <xdr:rowOff>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32</xdr:row>
          <xdr:rowOff>142875</xdr:rowOff>
        </xdr:from>
        <xdr:to>
          <xdr:col>1</xdr:col>
          <xdr:colOff>0</xdr:colOff>
          <xdr:row>34</xdr:row>
          <xdr:rowOff>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33</xdr:row>
          <xdr:rowOff>142875</xdr:rowOff>
        </xdr:from>
        <xdr:to>
          <xdr:col>1</xdr:col>
          <xdr:colOff>0</xdr:colOff>
          <xdr:row>35</xdr:row>
          <xdr:rowOff>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34</xdr:row>
          <xdr:rowOff>142875</xdr:rowOff>
        </xdr:from>
        <xdr:to>
          <xdr:col>1</xdr:col>
          <xdr:colOff>0</xdr:colOff>
          <xdr:row>36</xdr:row>
          <xdr:rowOff>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35</xdr:row>
          <xdr:rowOff>142875</xdr:rowOff>
        </xdr:from>
        <xdr:to>
          <xdr:col>1</xdr:col>
          <xdr:colOff>0</xdr:colOff>
          <xdr:row>37</xdr:row>
          <xdr:rowOff>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36</xdr:row>
          <xdr:rowOff>142875</xdr:rowOff>
        </xdr:from>
        <xdr:to>
          <xdr:col>1</xdr:col>
          <xdr:colOff>0</xdr:colOff>
          <xdr:row>38</xdr:row>
          <xdr:rowOff>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38</xdr:row>
          <xdr:rowOff>142875</xdr:rowOff>
        </xdr:from>
        <xdr:to>
          <xdr:col>1</xdr:col>
          <xdr:colOff>0</xdr:colOff>
          <xdr:row>40</xdr:row>
          <xdr:rowOff>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39</xdr:row>
          <xdr:rowOff>142875</xdr:rowOff>
        </xdr:from>
        <xdr:to>
          <xdr:col>1</xdr:col>
          <xdr:colOff>0</xdr:colOff>
          <xdr:row>41</xdr:row>
          <xdr:rowOff>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36</xdr:row>
          <xdr:rowOff>142875</xdr:rowOff>
        </xdr:from>
        <xdr:to>
          <xdr:col>3</xdr:col>
          <xdr:colOff>0</xdr:colOff>
          <xdr:row>38</xdr:row>
          <xdr:rowOff>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43</xdr:row>
          <xdr:rowOff>142875</xdr:rowOff>
        </xdr:from>
        <xdr:to>
          <xdr:col>1</xdr:col>
          <xdr:colOff>0</xdr:colOff>
          <xdr:row>45</xdr:row>
          <xdr:rowOff>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44</xdr:row>
          <xdr:rowOff>142875</xdr:rowOff>
        </xdr:from>
        <xdr:to>
          <xdr:col>1</xdr:col>
          <xdr:colOff>0</xdr:colOff>
          <xdr:row>46</xdr:row>
          <xdr:rowOff>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51</xdr:row>
          <xdr:rowOff>152400</xdr:rowOff>
        </xdr:from>
        <xdr:to>
          <xdr:col>1</xdr:col>
          <xdr:colOff>0</xdr:colOff>
          <xdr:row>53</xdr:row>
          <xdr:rowOff>9525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48</xdr:row>
          <xdr:rowOff>152400</xdr:rowOff>
        </xdr:from>
        <xdr:to>
          <xdr:col>3</xdr:col>
          <xdr:colOff>0</xdr:colOff>
          <xdr:row>50</xdr:row>
          <xdr:rowOff>9525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49</xdr:row>
          <xdr:rowOff>142875</xdr:rowOff>
        </xdr:from>
        <xdr:to>
          <xdr:col>3</xdr:col>
          <xdr:colOff>0</xdr:colOff>
          <xdr:row>51</xdr:row>
          <xdr:rowOff>0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50</xdr:row>
          <xdr:rowOff>142875</xdr:rowOff>
        </xdr:from>
        <xdr:to>
          <xdr:col>3</xdr:col>
          <xdr:colOff>0</xdr:colOff>
          <xdr:row>52</xdr:row>
          <xdr:rowOff>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51</xdr:row>
          <xdr:rowOff>152400</xdr:rowOff>
        </xdr:from>
        <xdr:to>
          <xdr:col>3</xdr:col>
          <xdr:colOff>0</xdr:colOff>
          <xdr:row>53</xdr:row>
          <xdr:rowOff>9525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52</xdr:row>
          <xdr:rowOff>142875</xdr:rowOff>
        </xdr:from>
        <xdr:to>
          <xdr:col>3</xdr:col>
          <xdr:colOff>0</xdr:colOff>
          <xdr:row>54</xdr:row>
          <xdr:rowOff>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53</xdr:row>
          <xdr:rowOff>142875</xdr:rowOff>
        </xdr:from>
        <xdr:to>
          <xdr:col>3</xdr:col>
          <xdr:colOff>0</xdr:colOff>
          <xdr:row>55</xdr:row>
          <xdr:rowOff>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16</xdr:row>
          <xdr:rowOff>142875</xdr:rowOff>
        </xdr:from>
        <xdr:to>
          <xdr:col>6</xdr:col>
          <xdr:colOff>180975</xdr:colOff>
          <xdr:row>18</xdr:row>
          <xdr:rowOff>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142875</xdr:rowOff>
        </xdr:from>
        <xdr:to>
          <xdr:col>6</xdr:col>
          <xdr:colOff>180975</xdr:colOff>
          <xdr:row>19</xdr:row>
          <xdr:rowOff>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18</xdr:row>
          <xdr:rowOff>142875</xdr:rowOff>
        </xdr:from>
        <xdr:to>
          <xdr:col>6</xdr:col>
          <xdr:colOff>180975</xdr:colOff>
          <xdr:row>20</xdr:row>
          <xdr:rowOff>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24</xdr:row>
          <xdr:rowOff>142875</xdr:rowOff>
        </xdr:from>
        <xdr:to>
          <xdr:col>6</xdr:col>
          <xdr:colOff>180975</xdr:colOff>
          <xdr:row>26</xdr:row>
          <xdr:rowOff>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25</xdr:row>
          <xdr:rowOff>142875</xdr:rowOff>
        </xdr:from>
        <xdr:to>
          <xdr:col>6</xdr:col>
          <xdr:colOff>180975</xdr:colOff>
          <xdr:row>27</xdr:row>
          <xdr:rowOff>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26</xdr:row>
          <xdr:rowOff>142875</xdr:rowOff>
        </xdr:from>
        <xdr:to>
          <xdr:col>6</xdr:col>
          <xdr:colOff>180975</xdr:colOff>
          <xdr:row>28</xdr:row>
          <xdr:rowOff>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28</xdr:row>
          <xdr:rowOff>142875</xdr:rowOff>
        </xdr:from>
        <xdr:to>
          <xdr:col>6</xdr:col>
          <xdr:colOff>180975</xdr:colOff>
          <xdr:row>30</xdr:row>
          <xdr:rowOff>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29</xdr:row>
          <xdr:rowOff>142875</xdr:rowOff>
        </xdr:from>
        <xdr:to>
          <xdr:col>6</xdr:col>
          <xdr:colOff>180975</xdr:colOff>
          <xdr:row>31</xdr:row>
          <xdr:rowOff>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36</xdr:row>
          <xdr:rowOff>152400</xdr:rowOff>
        </xdr:from>
        <xdr:to>
          <xdr:col>6</xdr:col>
          <xdr:colOff>180975</xdr:colOff>
          <xdr:row>38</xdr:row>
          <xdr:rowOff>9525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48</xdr:row>
          <xdr:rowOff>152400</xdr:rowOff>
        </xdr:from>
        <xdr:to>
          <xdr:col>1</xdr:col>
          <xdr:colOff>0</xdr:colOff>
          <xdr:row>50</xdr:row>
          <xdr:rowOff>9525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24</xdr:row>
          <xdr:rowOff>152400</xdr:rowOff>
        </xdr:from>
        <xdr:to>
          <xdr:col>1</xdr:col>
          <xdr:colOff>0</xdr:colOff>
          <xdr:row>26</xdr:row>
          <xdr:rowOff>9525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41</xdr:row>
          <xdr:rowOff>152400</xdr:rowOff>
        </xdr:from>
        <xdr:to>
          <xdr:col>0</xdr:col>
          <xdr:colOff>190500</xdr:colOff>
          <xdr:row>43</xdr:row>
          <xdr:rowOff>9525</xdr:rowOff>
        </xdr:to>
        <xdr:sp macro="" textlink="">
          <xdr:nvSpPr>
            <xdr:cNvPr id="1496" name="Check Box 472" hidden="1">
              <a:extLst>
                <a:ext uri="{63B3BB69-23CF-44E3-9099-C40C66FF867C}">
                  <a14:compatExt spid="_x0000_s1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2</xdr:row>
      <xdr:rowOff>0</xdr:rowOff>
    </xdr:from>
    <xdr:to>
      <xdr:col>1</xdr:col>
      <xdr:colOff>762000</xdr:colOff>
      <xdr:row>2</xdr:row>
      <xdr:rowOff>600489</xdr:rowOff>
    </xdr:to>
    <xdr:pic>
      <xdr:nvPicPr>
        <xdr:cNvPr id="10" name="Afbeelding 9" descr="logo_bee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0" y="1257300"/>
          <a:ext cx="476250" cy="600489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3</xdr:row>
      <xdr:rowOff>38100</xdr:rowOff>
    </xdr:from>
    <xdr:to>
      <xdr:col>1</xdr:col>
      <xdr:colOff>1328738</xdr:colOff>
      <xdr:row>3</xdr:row>
      <xdr:rowOff>596905</xdr:rowOff>
    </xdr:to>
    <xdr:pic>
      <xdr:nvPicPr>
        <xdr:cNvPr id="11" name="Afbeelding 10" descr="brunssum_logo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13333" r="9986" b="13333"/>
        <a:stretch>
          <a:fillRect/>
        </a:stretch>
      </xdr:blipFill>
      <xdr:spPr>
        <a:xfrm>
          <a:off x="2543175" y="1924050"/>
          <a:ext cx="1262063" cy="55880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4</xdr:row>
      <xdr:rowOff>28575</xdr:rowOff>
    </xdr:from>
    <xdr:to>
      <xdr:col>1</xdr:col>
      <xdr:colOff>1390650</xdr:colOff>
      <xdr:row>4</xdr:row>
      <xdr:rowOff>594360</xdr:rowOff>
    </xdr:to>
    <xdr:pic>
      <xdr:nvPicPr>
        <xdr:cNvPr id="12" name="Afbeelding 11" descr="eijsden-margraten_logo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95550" y="2543175"/>
          <a:ext cx="1371600" cy="565785"/>
        </a:xfrm>
        <a:prstGeom prst="rect">
          <a:avLst/>
        </a:prstGeom>
      </xdr:spPr>
    </xdr:pic>
    <xdr:clientData/>
  </xdr:twoCellAnchor>
  <xdr:twoCellAnchor editAs="oneCell">
    <xdr:from>
      <xdr:col>1</xdr:col>
      <xdr:colOff>128587</xdr:colOff>
      <xdr:row>5</xdr:row>
      <xdr:rowOff>33334</xdr:rowOff>
    </xdr:from>
    <xdr:to>
      <xdr:col>1</xdr:col>
      <xdr:colOff>1066804</xdr:colOff>
      <xdr:row>5</xdr:row>
      <xdr:rowOff>623887</xdr:rowOff>
    </xdr:to>
    <xdr:pic>
      <xdr:nvPicPr>
        <xdr:cNvPr id="13" name="Afbeelding 12" descr="gulpen-wittem_logo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605087" y="3176584"/>
          <a:ext cx="938217" cy="590553"/>
        </a:xfrm>
        <a:prstGeom prst="rect">
          <a:avLst/>
        </a:prstGeom>
      </xdr:spPr>
    </xdr:pic>
    <xdr:clientData/>
  </xdr:twoCellAnchor>
  <xdr:twoCellAnchor editAs="oneCell">
    <xdr:from>
      <xdr:col>1</xdr:col>
      <xdr:colOff>28573</xdr:colOff>
      <xdr:row>6</xdr:row>
      <xdr:rowOff>38094</xdr:rowOff>
    </xdr:from>
    <xdr:to>
      <xdr:col>1</xdr:col>
      <xdr:colOff>1305344</xdr:colOff>
      <xdr:row>6</xdr:row>
      <xdr:rowOff>590543</xdr:rowOff>
    </xdr:to>
    <xdr:pic>
      <xdr:nvPicPr>
        <xdr:cNvPr id="14" name="Afbeelding 13" descr="heerlen_logo.pn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r="5882"/>
        <a:stretch>
          <a:fillRect/>
        </a:stretch>
      </xdr:blipFill>
      <xdr:spPr>
        <a:xfrm>
          <a:off x="2505073" y="3809994"/>
          <a:ext cx="1276771" cy="55244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19052</xdr:colOff>
      <xdr:row>7</xdr:row>
      <xdr:rowOff>57150</xdr:rowOff>
    </xdr:from>
    <xdr:to>
      <xdr:col>1</xdr:col>
      <xdr:colOff>1266825</xdr:colOff>
      <xdr:row>7</xdr:row>
      <xdr:rowOff>557212</xdr:rowOff>
    </xdr:to>
    <xdr:pic>
      <xdr:nvPicPr>
        <xdr:cNvPr id="15" name="Afbeelding 14" descr="kerkrade_logo.pn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 r="44255"/>
        <a:stretch>
          <a:fillRect/>
        </a:stretch>
      </xdr:blipFill>
      <xdr:spPr>
        <a:xfrm>
          <a:off x="2495552" y="4457700"/>
          <a:ext cx="1247773" cy="500062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8</xdr:row>
      <xdr:rowOff>28575</xdr:rowOff>
    </xdr:from>
    <xdr:to>
      <xdr:col>1</xdr:col>
      <xdr:colOff>1252538</xdr:colOff>
      <xdr:row>8</xdr:row>
      <xdr:rowOff>600075</xdr:rowOff>
    </xdr:to>
    <xdr:pic>
      <xdr:nvPicPr>
        <xdr:cNvPr id="16" name="Afbeelding 15" descr="landgraaf_logo.gif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514600" y="5057775"/>
          <a:ext cx="1214438" cy="5715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190499</xdr:colOff>
      <xdr:row>8</xdr:row>
      <xdr:rowOff>628642</xdr:rowOff>
    </xdr:from>
    <xdr:to>
      <xdr:col>1</xdr:col>
      <xdr:colOff>761999</xdr:colOff>
      <xdr:row>10</xdr:row>
      <xdr:rowOff>6342</xdr:rowOff>
    </xdr:to>
    <xdr:pic>
      <xdr:nvPicPr>
        <xdr:cNvPr id="17" name="Afbeelding 16" descr="maastricht_logo.pn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 l="13281" t="9375" r="16406" b="12500"/>
        <a:stretch>
          <a:fillRect/>
        </a:stretch>
      </xdr:blipFill>
      <xdr:spPr>
        <a:xfrm>
          <a:off x="2666999" y="5657842"/>
          <a:ext cx="571500" cy="635000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10</xdr:row>
      <xdr:rowOff>28575</xdr:rowOff>
    </xdr:from>
    <xdr:to>
      <xdr:col>1</xdr:col>
      <xdr:colOff>859155</xdr:colOff>
      <xdr:row>10</xdr:row>
      <xdr:rowOff>607695</xdr:rowOff>
    </xdr:to>
    <xdr:pic>
      <xdr:nvPicPr>
        <xdr:cNvPr id="18" name="Afbeelding 17" descr="meerssen-logo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600325" y="6315075"/>
          <a:ext cx="735330" cy="57912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11</xdr:row>
      <xdr:rowOff>19050</xdr:rowOff>
    </xdr:from>
    <xdr:to>
      <xdr:col>1</xdr:col>
      <xdr:colOff>904875</xdr:colOff>
      <xdr:row>11</xdr:row>
      <xdr:rowOff>611029</xdr:rowOff>
    </xdr:to>
    <xdr:pic>
      <xdr:nvPicPr>
        <xdr:cNvPr id="19" name="Afbeelding 18" descr="nuth_logo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2543175" y="6934200"/>
          <a:ext cx="838200" cy="59197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12</xdr:row>
      <xdr:rowOff>47625</xdr:rowOff>
    </xdr:from>
    <xdr:to>
      <xdr:col>1</xdr:col>
      <xdr:colOff>1344930</xdr:colOff>
      <xdr:row>12</xdr:row>
      <xdr:rowOff>602800</xdr:rowOff>
    </xdr:to>
    <xdr:pic>
      <xdr:nvPicPr>
        <xdr:cNvPr id="20" name="Afbeelding 19" descr="onderbanken_logo.pn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 t="24781" b="25656"/>
        <a:stretch>
          <a:fillRect/>
        </a:stretch>
      </xdr:blipFill>
      <xdr:spPr>
        <a:xfrm>
          <a:off x="2495550" y="7591425"/>
          <a:ext cx="1325880" cy="55517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13</xdr:row>
      <xdr:rowOff>66675</xdr:rowOff>
    </xdr:from>
    <xdr:to>
      <xdr:col>1</xdr:col>
      <xdr:colOff>1104900</xdr:colOff>
      <xdr:row>13</xdr:row>
      <xdr:rowOff>609600</xdr:rowOff>
    </xdr:to>
    <xdr:pic>
      <xdr:nvPicPr>
        <xdr:cNvPr id="21" name="Afbeelding 20" descr="schinnen_logo.jp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 t="12500" b="16250"/>
        <a:stretch>
          <a:fillRect/>
        </a:stretch>
      </xdr:blipFill>
      <xdr:spPr>
        <a:xfrm>
          <a:off x="2505075" y="8239125"/>
          <a:ext cx="1076325" cy="54292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19051</xdr:colOff>
      <xdr:row>14</xdr:row>
      <xdr:rowOff>28575</xdr:rowOff>
    </xdr:from>
    <xdr:to>
      <xdr:col>1</xdr:col>
      <xdr:colOff>1828611</xdr:colOff>
      <xdr:row>14</xdr:row>
      <xdr:rowOff>590550</xdr:rowOff>
    </xdr:to>
    <xdr:pic>
      <xdr:nvPicPr>
        <xdr:cNvPr id="22" name="Afbeelding 21" descr="simpelveld_logo.pn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2495551" y="8829675"/>
          <a:ext cx="1809560" cy="5619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15</xdr:row>
      <xdr:rowOff>114300</xdr:rowOff>
    </xdr:from>
    <xdr:to>
      <xdr:col>1</xdr:col>
      <xdr:colOff>1838325</xdr:colOff>
      <xdr:row>15</xdr:row>
      <xdr:rowOff>521537</xdr:rowOff>
    </xdr:to>
    <xdr:pic>
      <xdr:nvPicPr>
        <xdr:cNvPr id="23" name="Afbeelding 22" descr="Logo Sittard-Geleen kleur[1]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2495550" y="9544050"/>
          <a:ext cx="1819275" cy="407237"/>
        </a:xfrm>
        <a:prstGeom prst="rect">
          <a:avLst/>
        </a:prstGeom>
      </xdr:spPr>
    </xdr:pic>
    <xdr:clientData/>
  </xdr:twoCellAnchor>
  <xdr:twoCellAnchor editAs="oneCell">
    <xdr:from>
      <xdr:col>1</xdr:col>
      <xdr:colOff>28580</xdr:colOff>
      <xdr:row>16</xdr:row>
      <xdr:rowOff>1</xdr:rowOff>
    </xdr:from>
    <xdr:to>
      <xdr:col>1</xdr:col>
      <xdr:colOff>1566863</xdr:colOff>
      <xdr:row>16</xdr:row>
      <xdr:rowOff>614721</xdr:rowOff>
    </xdr:to>
    <xdr:pic>
      <xdr:nvPicPr>
        <xdr:cNvPr id="24" name="Afbeelding 23" descr="stein_logo.png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 l="-2922" r="-1948"/>
        <a:stretch>
          <a:fillRect/>
        </a:stretch>
      </xdr:blipFill>
      <xdr:spPr>
        <a:xfrm>
          <a:off x="2505080" y="10058401"/>
          <a:ext cx="1538283" cy="61472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1047750</xdr:colOff>
      <xdr:row>17</xdr:row>
      <xdr:rowOff>605790</xdr:rowOff>
    </xdr:to>
    <xdr:pic>
      <xdr:nvPicPr>
        <xdr:cNvPr id="25" name="Afbeelding 24" descr="vaals_logo.pn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2514600" y="10687050"/>
          <a:ext cx="1009650" cy="605790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171451</xdr:colOff>
      <xdr:row>18</xdr:row>
      <xdr:rowOff>0</xdr:rowOff>
    </xdr:from>
    <xdr:to>
      <xdr:col>1</xdr:col>
      <xdr:colOff>829028</xdr:colOff>
      <xdr:row>18</xdr:row>
      <xdr:rowOff>609600</xdr:rowOff>
    </xdr:to>
    <xdr:pic>
      <xdr:nvPicPr>
        <xdr:cNvPr id="26" name="Afbeelding 25" descr="valkenburg_logo.pn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2647951" y="11315700"/>
          <a:ext cx="657577" cy="6096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19</xdr:row>
      <xdr:rowOff>152400</xdr:rowOff>
    </xdr:from>
    <xdr:to>
      <xdr:col>1</xdr:col>
      <xdr:colOff>1643063</xdr:colOff>
      <xdr:row>19</xdr:row>
      <xdr:rowOff>466725</xdr:rowOff>
    </xdr:to>
    <xdr:pic>
      <xdr:nvPicPr>
        <xdr:cNvPr id="27" name="Afbeelding 26" descr="voerendaal_logo.png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 r="23234" b="-37500"/>
        <a:stretch>
          <a:fillRect/>
        </a:stretch>
      </xdr:blipFill>
      <xdr:spPr>
        <a:xfrm>
          <a:off x="2505075" y="12096750"/>
          <a:ext cx="1614488" cy="314325"/>
        </a:xfrm>
        <a:prstGeom prst="rect">
          <a:avLst/>
        </a:prstGeom>
      </xdr:spPr>
    </xdr:pic>
    <xdr:clientData/>
  </xdr:twoCellAnchor>
  <xdr:twoCellAnchor editAs="oneCell">
    <xdr:from>
      <xdr:col>1</xdr:col>
      <xdr:colOff>42863</xdr:colOff>
      <xdr:row>20</xdr:row>
      <xdr:rowOff>19110</xdr:rowOff>
    </xdr:from>
    <xdr:to>
      <xdr:col>1</xdr:col>
      <xdr:colOff>1219200</xdr:colOff>
      <xdr:row>20</xdr:row>
      <xdr:rowOff>595148</xdr:rowOff>
    </xdr:to>
    <xdr:pic>
      <xdr:nvPicPr>
        <xdr:cNvPr id="28" name="Afbeelding 27" descr="imd-bns_logo.jpg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 l="7241" r="7586"/>
        <a:stretch>
          <a:fillRect/>
        </a:stretch>
      </xdr:blipFill>
      <xdr:spPr>
        <a:xfrm>
          <a:off x="2519363" y="12592110"/>
          <a:ext cx="1176337" cy="576038"/>
        </a:xfrm>
        <a:prstGeom prst="rect">
          <a:avLst/>
        </a:prstGeom>
      </xdr:spPr>
    </xdr:pic>
    <xdr:clientData/>
  </xdr:twoCellAnchor>
  <xdr:twoCellAnchor editAs="oneCell">
    <xdr:from>
      <xdr:col>1</xdr:col>
      <xdr:colOff>23813</xdr:colOff>
      <xdr:row>21</xdr:row>
      <xdr:rowOff>152401</xdr:rowOff>
    </xdr:from>
    <xdr:to>
      <xdr:col>1</xdr:col>
      <xdr:colOff>1771650</xdr:colOff>
      <xdr:row>21</xdr:row>
      <xdr:rowOff>485681</xdr:rowOff>
    </xdr:to>
    <xdr:pic>
      <xdr:nvPicPr>
        <xdr:cNvPr id="29" name="Afbeelding 28" descr="prvlimburg_logo.jpg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 l="-1989" r="-2272"/>
        <a:stretch>
          <a:fillRect/>
        </a:stretch>
      </xdr:blipFill>
      <xdr:spPr>
        <a:xfrm>
          <a:off x="2500313" y="13354051"/>
          <a:ext cx="1747837" cy="33328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28576</xdr:colOff>
      <xdr:row>1</xdr:row>
      <xdr:rowOff>0</xdr:rowOff>
    </xdr:from>
    <xdr:to>
      <xdr:col>1</xdr:col>
      <xdr:colOff>981076</xdr:colOff>
      <xdr:row>2</xdr:row>
      <xdr:rowOff>10152</xdr:rowOff>
    </xdr:to>
    <xdr:pic>
      <xdr:nvPicPr>
        <xdr:cNvPr id="30" name="Afbeelding 29" descr="vlag zuid limburg 3 afb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2505076" y="628650"/>
          <a:ext cx="952500" cy="638802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22</xdr:row>
      <xdr:rowOff>152400</xdr:rowOff>
    </xdr:from>
    <xdr:to>
      <xdr:col>1</xdr:col>
      <xdr:colOff>1914525</xdr:colOff>
      <xdr:row>22</xdr:row>
      <xdr:rowOff>468313</xdr:rowOff>
    </xdr:to>
    <xdr:pic>
      <xdr:nvPicPr>
        <xdr:cNvPr id="33" name="Afbeelding 32" descr="Mook en Middelaar_logo.pn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2495550" y="13982700"/>
          <a:ext cx="1895475" cy="315913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23</xdr:row>
      <xdr:rowOff>19050</xdr:rowOff>
    </xdr:from>
    <xdr:to>
      <xdr:col>1</xdr:col>
      <xdr:colOff>934334</xdr:colOff>
      <xdr:row>23</xdr:row>
      <xdr:rowOff>609600</xdr:rowOff>
    </xdr:to>
    <xdr:pic>
      <xdr:nvPicPr>
        <xdr:cNvPr id="34" name="Afbeelding 33" descr="gennep_logo.pn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2619375" y="14478000"/>
          <a:ext cx="791459" cy="59055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25</xdr:row>
      <xdr:rowOff>28575</xdr:rowOff>
    </xdr:from>
    <xdr:to>
      <xdr:col>1</xdr:col>
      <xdr:colOff>2038350</xdr:colOff>
      <xdr:row>25</xdr:row>
      <xdr:rowOff>611658</xdr:rowOff>
    </xdr:to>
    <xdr:pic>
      <xdr:nvPicPr>
        <xdr:cNvPr id="36" name="Afbeelding 35" descr="venray_logo.pn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2505075" y="15744825"/>
          <a:ext cx="2009775" cy="583083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26</xdr:row>
      <xdr:rowOff>19050</xdr:rowOff>
    </xdr:from>
    <xdr:to>
      <xdr:col>1</xdr:col>
      <xdr:colOff>1143000</xdr:colOff>
      <xdr:row>26</xdr:row>
      <xdr:rowOff>614363</xdr:rowOff>
    </xdr:to>
    <xdr:pic>
      <xdr:nvPicPr>
        <xdr:cNvPr id="37" name="Afbeelding 36" descr="horst aan de maas_logo.pn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2619375" y="16363950"/>
          <a:ext cx="1000125" cy="595313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27</xdr:row>
      <xdr:rowOff>28575</xdr:rowOff>
    </xdr:from>
    <xdr:to>
      <xdr:col>1</xdr:col>
      <xdr:colOff>1038225</xdr:colOff>
      <xdr:row>27</xdr:row>
      <xdr:rowOff>615472</xdr:rowOff>
    </xdr:to>
    <xdr:pic>
      <xdr:nvPicPr>
        <xdr:cNvPr id="38" name="Afbeelding 37" descr="venlo_logo.pn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2524125" y="17002125"/>
          <a:ext cx="990600" cy="586897"/>
        </a:xfrm>
        <a:prstGeom prst="rect">
          <a:avLst/>
        </a:prstGeom>
      </xdr:spPr>
    </xdr:pic>
    <xdr:clientData/>
  </xdr:twoCellAnchor>
  <xdr:twoCellAnchor editAs="oneCell">
    <xdr:from>
      <xdr:col>1</xdr:col>
      <xdr:colOff>66676</xdr:colOff>
      <xdr:row>28</xdr:row>
      <xdr:rowOff>47626</xdr:rowOff>
    </xdr:from>
    <xdr:to>
      <xdr:col>1</xdr:col>
      <xdr:colOff>1000126</xdr:colOff>
      <xdr:row>28</xdr:row>
      <xdr:rowOff>599210</xdr:rowOff>
    </xdr:to>
    <xdr:pic>
      <xdr:nvPicPr>
        <xdr:cNvPr id="39" name="Afbeelding 38" descr="peel en maas_logo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2543176" y="17649826"/>
          <a:ext cx="933450" cy="55158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29</xdr:row>
      <xdr:rowOff>19050</xdr:rowOff>
    </xdr:from>
    <xdr:to>
      <xdr:col>1</xdr:col>
      <xdr:colOff>1181101</xdr:colOff>
      <xdr:row>29</xdr:row>
      <xdr:rowOff>604046</xdr:rowOff>
    </xdr:to>
    <xdr:pic>
      <xdr:nvPicPr>
        <xdr:cNvPr id="40" name="Afbeelding 39" descr="nederweert_logo.pn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2476501" y="18249900"/>
          <a:ext cx="1181100" cy="584996"/>
        </a:xfrm>
        <a:prstGeom prst="rect">
          <a:avLst/>
        </a:prstGeom>
      </xdr:spPr>
    </xdr:pic>
    <xdr:clientData/>
  </xdr:twoCellAnchor>
  <xdr:twoCellAnchor editAs="oneCell">
    <xdr:from>
      <xdr:col>1</xdr:col>
      <xdr:colOff>28576</xdr:colOff>
      <xdr:row>30</xdr:row>
      <xdr:rowOff>19050</xdr:rowOff>
    </xdr:from>
    <xdr:to>
      <xdr:col>1</xdr:col>
      <xdr:colOff>1285876</xdr:colOff>
      <xdr:row>30</xdr:row>
      <xdr:rowOff>599833</xdr:rowOff>
    </xdr:to>
    <xdr:pic>
      <xdr:nvPicPr>
        <xdr:cNvPr id="41" name="Afbeelding 40" descr="beesel_logo.pn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2505076" y="18878550"/>
          <a:ext cx="1257300" cy="580783"/>
        </a:xfrm>
        <a:prstGeom prst="rect">
          <a:avLst/>
        </a:prstGeom>
      </xdr:spPr>
    </xdr:pic>
    <xdr:clientData/>
  </xdr:twoCellAnchor>
  <xdr:twoCellAnchor editAs="oneCell">
    <xdr:from>
      <xdr:col>1</xdr:col>
      <xdr:colOff>28576</xdr:colOff>
      <xdr:row>31</xdr:row>
      <xdr:rowOff>28575</xdr:rowOff>
    </xdr:from>
    <xdr:to>
      <xdr:col>1</xdr:col>
      <xdr:colOff>1571626</xdr:colOff>
      <xdr:row>31</xdr:row>
      <xdr:rowOff>587052</xdr:rowOff>
    </xdr:to>
    <xdr:pic>
      <xdr:nvPicPr>
        <xdr:cNvPr id="42" name="Afbeelding 41" descr="leudal_logo.pn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2505076" y="19516725"/>
          <a:ext cx="1543050" cy="558477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32</xdr:row>
      <xdr:rowOff>57150</xdr:rowOff>
    </xdr:from>
    <xdr:to>
      <xdr:col>1</xdr:col>
      <xdr:colOff>2200275</xdr:colOff>
      <xdr:row>32</xdr:row>
      <xdr:rowOff>576450</xdr:rowOff>
    </xdr:to>
    <xdr:pic>
      <xdr:nvPicPr>
        <xdr:cNvPr id="43" name="Afbeelding 42" descr="weert_logo.png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2514600" y="20173950"/>
          <a:ext cx="2162175" cy="5193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33</xdr:row>
      <xdr:rowOff>28575</xdr:rowOff>
    </xdr:from>
    <xdr:to>
      <xdr:col>1</xdr:col>
      <xdr:colOff>1552575</xdr:colOff>
      <xdr:row>33</xdr:row>
      <xdr:rowOff>603198</xdr:rowOff>
    </xdr:to>
    <xdr:pic>
      <xdr:nvPicPr>
        <xdr:cNvPr id="44" name="Afbeelding 43" descr="roermond logo.png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2505075" y="20774025"/>
          <a:ext cx="1524000" cy="574623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34</xdr:row>
      <xdr:rowOff>38100</xdr:rowOff>
    </xdr:from>
    <xdr:to>
      <xdr:col>1</xdr:col>
      <xdr:colOff>1200150</xdr:colOff>
      <xdr:row>34</xdr:row>
      <xdr:rowOff>588169</xdr:rowOff>
    </xdr:to>
    <xdr:pic>
      <xdr:nvPicPr>
        <xdr:cNvPr id="45" name="Afbeelding 44" descr="maasgouw_logo.png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2505075" y="21412200"/>
          <a:ext cx="1171575" cy="55006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35</xdr:row>
      <xdr:rowOff>38101</xdr:rowOff>
    </xdr:from>
    <xdr:to>
      <xdr:col>1</xdr:col>
      <xdr:colOff>1495425</xdr:colOff>
      <xdr:row>35</xdr:row>
      <xdr:rowOff>603435</xdr:rowOff>
    </xdr:to>
    <xdr:pic>
      <xdr:nvPicPr>
        <xdr:cNvPr id="46" name="Afbeelding 45" descr="roerdalen_logo.png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2495550" y="22040851"/>
          <a:ext cx="1476375" cy="565334"/>
        </a:xfrm>
        <a:prstGeom prst="rect">
          <a:avLst/>
        </a:prstGeom>
      </xdr:spPr>
    </xdr:pic>
    <xdr:clientData/>
  </xdr:twoCellAnchor>
  <xdr:twoCellAnchor editAs="oneCell">
    <xdr:from>
      <xdr:col>1</xdr:col>
      <xdr:colOff>19049</xdr:colOff>
      <xdr:row>36</xdr:row>
      <xdr:rowOff>76200</xdr:rowOff>
    </xdr:from>
    <xdr:to>
      <xdr:col>1</xdr:col>
      <xdr:colOff>2191290</xdr:colOff>
      <xdr:row>36</xdr:row>
      <xdr:rowOff>561975</xdr:rowOff>
    </xdr:to>
    <xdr:pic>
      <xdr:nvPicPr>
        <xdr:cNvPr id="47" name="Afbeelding 46" descr="echt-susteren_logo.png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2495549" y="22707600"/>
          <a:ext cx="2172241" cy="48577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37</xdr:row>
      <xdr:rowOff>28575</xdr:rowOff>
    </xdr:from>
    <xdr:to>
      <xdr:col>1</xdr:col>
      <xdr:colOff>1349086</xdr:colOff>
      <xdr:row>37</xdr:row>
      <xdr:rowOff>609600</xdr:rowOff>
    </xdr:to>
    <xdr:pic>
      <xdr:nvPicPr>
        <xdr:cNvPr id="48" name="Afbeelding 47" descr="servicecentrum MER_logo.jpg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2505075" y="23288625"/>
          <a:ext cx="1320511" cy="58102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38102</xdr:colOff>
      <xdr:row>24</xdr:row>
      <xdr:rowOff>28575</xdr:rowOff>
    </xdr:from>
    <xdr:to>
      <xdr:col>1</xdr:col>
      <xdr:colOff>1171576</xdr:colOff>
      <xdr:row>24</xdr:row>
      <xdr:rowOff>597100</xdr:rowOff>
    </xdr:to>
    <xdr:pic>
      <xdr:nvPicPr>
        <xdr:cNvPr id="49" name="Afbeelding 48" descr="bergen_logo.png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2514602" y="15116175"/>
          <a:ext cx="1133474" cy="568525"/>
        </a:xfrm>
        <a:prstGeom prst="rect">
          <a:avLst/>
        </a:prstGeom>
      </xdr:spPr>
    </xdr:pic>
    <xdr:clientData/>
  </xdr:twoCellAnchor>
  <xdr:oneCellAnchor>
    <xdr:from>
      <xdr:col>1</xdr:col>
      <xdr:colOff>28576</xdr:colOff>
      <xdr:row>38</xdr:row>
      <xdr:rowOff>0</xdr:rowOff>
    </xdr:from>
    <xdr:ext cx="952500" cy="638802"/>
    <xdr:pic>
      <xdr:nvPicPr>
        <xdr:cNvPr id="50" name="Afbeelding 49" descr="vlag zuid limburg 3 afb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2505076" y="628650"/>
          <a:ext cx="952500" cy="638802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166688</xdr:colOff>
      <xdr:row>2</xdr:row>
      <xdr:rowOff>130969</xdr:rowOff>
    </xdr:from>
    <xdr:to>
      <xdr:col>2</xdr:col>
      <xdr:colOff>1050965</xdr:colOff>
      <xdr:row>2</xdr:row>
      <xdr:rowOff>552450</xdr:rowOff>
    </xdr:to>
    <xdr:pic>
      <xdr:nvPicPr>
        <xdr:cNvPr id="2" name="Afbeelding 3" descr="rud limburg noord_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3736" t="22735" r="10714" b="4444"/>
        <a:stretch>
          <a:fillRect/>
        </a:stretch>
      </xdr:blipFill>
      <xdr:spPr bwMode="auto">
        <a:xfrm>
          <a:off x="1747838" y="454819"/>
          <a:ext cx="884277" cy="421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3</xdr:row>
      <xdr:rowOff>57150</xdr:rowOff>
    </xdr:from>
    <xdr:to>
      <xdr:col>2</xdr:col>
      <xdr:colOff>1038225</xdr:colOff>
      <xdr:row>3</xdr:row>
      <xdr:rowOff>525959</xdr:rowOff>
    </xdr:to>
    <xdr:pic>
      <xdr:nvPicPr>
        <xdr:cNvPr id="3" name="Afbeelding 4" descr="rud limburgzuid_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-4918" t="-9425"/>
        <a:stretch>
          <a:fillRect/>
        </a:stretch>
      </xdr:blipFill>
      <xdr:spPr bwMode="auto">
        <a:xfrm>
          <a:off x="1762125" y="1066800"/>
          <a:ext cx="857250" cy="468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2</xdr:row>
          <xdr:rowOff>104775</xdr:rowOff>
        </xdr:from>
        <xdr:to>
          <xdr:col>7</xdr:col>
          <xdr:colOff>1000125</xdr:colOff>
          <xdr:row>2</xdr:row>
          <xdr:rowOff>638175</xdr:rowOff>
        </xdr:to>
        <xdr:pic>
          <xdr:nvPicPr>
            <xdr:cNvPr id="3073" name="Picture 1"/>
            <xdr:cNvPicPr preferRelativeResize="0">
              <a:picLocks noChangeArrowheads="1"/>
              <a:extLst>
                <a:ext uri="{84589F7E-364E-4C9E-8A38-B11213B215E9}">
                  <a14:cameraTool cellRange="Zoek_Figuur" spid="_x0000_s315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915150" y="428625"/>
              <a:ext cx="800100" cy="5334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fbeelding_opzoeken_met_functies%20werk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eken"/>
    </sheetNames>
    <sheetDataSet>
      <sheetData sheetId="0">
        <row r="2">
          <cell r="C2" t="str">
            <v>Sheltie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AG51"/>
  <sheetViews>
    <sheetView workbookViewId="0">
      <selection activeCell="B34" sqref="B34"/>
    </sheetView>
  </sheetViews>
  <sheetFormatPr defaultRowHeight="14.25" x14ac:dyDescent="0.2"/>
  <cols>
    <col min="2" max="2" width="11.625" customWidth="1"/>
  </cols>
  <sheetData>
    <row r="1" spans="1:33" x14ac:dyDescent="0.2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</row>
    <row r="2" spans="1:33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</row>
    <row r="3" spans="1:33" x14ac:dyDescent="0.2">
      <c r="A3" s="61"/>
      <c r="B3" s="61" t="s">
        <v>195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</row>
    <row r="4" spans="1:33" x14ac:dyDescent="0.2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</row>
    <row r="5" spans="1:33" x14ac:dyDescent="0.2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</row>
    <row r="6" spans="1:33" x14ac:dyDescent="0.2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pans="1:33" x14ac:dyDescent="0.2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</row>
    <row r="8" spans="1:33" x14ac:dyDescent="0.2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9" spans="1:33" x14ac:dyDescent="0.2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1:33" x14ac:dyDescent="0.2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</row>
    <row r="11" spans="1:33" x14ac:dyDescent="0.2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</row>
    <row r="12" spans="1:33" ht="25.5" x14ac:dyDescent="0.35">
      <c r="A12" s="43"/>
      <c r="B12" s="44" t="s">
        <v>197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</row>
    <row r="13" spans="1:33" ht="25.5" x14ac:dyDescent="0.35">
      <c r="A13" s="43"/>
      <c r="B13" s="44" t="s">
        <v>198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</row>
    <row r="14" spans="1:33" ht="25.5" x14ac:dyDescent="0.35">
      <c r="A14" s="43"/>
      <c r="B14" s="44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</row>
    <row r="15" spans="1:33" ht="25.5" x14ac:dyDescent="0.35">
      <c r="A15" s="43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</row>
    <row r="16" spans="1:33" x14ac:dyDescent="0.2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</row>
    <row r="17" spans="1:33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</row>
    <row r="18" spans="1:33" x14ac:dyDescent="0.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</row>
    <row r="19" spans="1:33" x14ac:dyDescent="0.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</row>
    <row r="20" spans="1:33" ht="15" x14ac:dyDescent="0.25">
      <c r="A20" s="43"/>
      <c r="B20" s="45" t="s">
        <v>199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</row>
    <row r="21" spans="1:33" ht="15" x14ac:dyDescent="0.25">
      <c r="A21" s="43"/>
      <c r="B21" s="45" t="s">
        <v>200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</row>
    <row r="22" spans="1:33" ht="15" x14ac:dyDescent="0.25">
      <c r="A22" s="43"/>
      <c r="B22" s="45" t="s">
        <v>203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</row>
    <row r="23" spans="1:33" ht="15" x14ac:dyDescent="0.25">
      <c r="A23" s="43"/>
      <c r="B23" s="45" t="s">
        <v>201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</row>
    <row r="24" spans="1:33" x14ac:dyDescent="0.2">
      <c r="A24" s="43"/>
      <c r="B24" s="47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</row>
    <row r="25" spans="1:33" x14ac:dyDescent="0.2">
      <c r="A25" s="43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</row>
    <row r="26" spans="1:33" x14ac:dyDescent="0.2">
      <c r="A26" s="43"/>
      <c r="B26" s="51"/>
      <c r="C26" s="48" t="s">
        <v>196</v>
      </c>
      <c r="D26" s="49"/>
      <c r="E26" s="49"/>
      <c r="F26" s="49"/>
      <c r="G26" s="49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</row>
    <row r="27" spans="1:33" x14ac:dyDescent="0.2">
      <c r="A27" s="43"/>
      <c r="B27" s="48"/>
      <c r="C27" s="49" t="s">
        <v>205</v>
      </c>
      <c r="D27" s="49"/>
      <c r="E27" s="49"/>
      <c r="F27" s="49"/>
      <c r="G27" s="49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</row>
    <row r="28" spans="1:33" x14ac:dyDescent="0.2">
      <c r="A28" s="43"/>
      <c r="B28" s="50"/>
      <c r="C28" s="49"/>
      <c r="D28" s="49"/>
      <c r="E28" s="49"/>
      <c r="F28" s="49"/>
      <c r="G28" s="49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</row>
    <row r="29" spans="1:33" x14ac:dyDescent="0.2">
      <c r="A29" s="43"/>
      <c r="B29" s="52" t="s">
        <v>27</v>
      </c>
      <c r="C29" s="48" t="s">
        <v>202</v>
      </c>
      <c r="D29" s="48"/>
      <c r="E29" s="49"/>
      <c r="F29" s="49"/>
      <c r="G29" s="49"/>
      <c r="H29" s="46"/>
      <c r="I29" s="46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</row>
    <row r="30" spans="1:33" x14ac:dyDescent="0.2">
      <c r="A30" s="43"/>
      <c r="B30" s="48"/>
      <c r="C30" s="49" t="s">
        <v>204</v>
      </c>
      <c r="D30" s="48"/>
      <c r="E30" s="48"/>
      <c r="F30" s="48"/>
      <c r="G30" s="48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</row>
    <row r="31" spans="1:33" x14ac:dyDescent="0.2">
      <c r="A31" s="43"/>
      <c r="B31" s="48"/>
      <c r="C31" s="48"/>
      <c r="D31" s="48"/>
      <c r="E31" s="48"/>
      <c r="F31" s="48"/>
      <c r="G31" s="48"/>
      <c r="H31" s="43"/>
      <c r="I31" s="43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</row>
    <row r="32" spans="1:33" x14ac:dyDescent="0.2">
      <c r="A32" s="43"/>
      <c r="B32" s="43"/>
      <c r="C32" s="43"/>
      <c r="D32" s="43"/>
      <c r="E32" s="43"/>
      <c r="F32" s="43"/>
      <c r="G32" s="43"/>
      <c r="H32" s="43"/>
      <c r="I32" s="46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</row>
    <row r="33" spans="1:33" ht="15" x14ac:dyDescent="0.25">
      <c r="A33" s="43"/>
      <c r="B33" s="45" t="s">
        <v>216</v>
      </c>
      <c r="C33" s="48"/>
      <c r="D33" s="48"/>
      <c r="E33" s="48"/>
      <c r="F33" s="48"/>
      <c r="G33" s="48"/>
      <c r="H33" s="43"/>
      <c r="I33" s="43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</row>
    <row r="34" spans="1:33" x14ac:dyDescent="0.2">
      <c r="A34" s="43"/>
      <c r="B34" s="43"/>
      <c r="C34" s="48"/>
      <c r="D34" s="49"/>
      <c r="E34" s="49"/>
      <c r="F34" s="49"/>
      <c r="G34" s="49"/>
      <c r="H34" s="46"/>
      <c r="I34" s="46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</row>
    <row r="35" spans="1:33" x14ac:dyDescent="0.2">
      <c r="A35" s="43"/>
      <c r="B35" s="48"/>
      <c r="C35" s="48"/>
      <c r="D35" s="48"/>
      <c r="E35" s="48"/>
      <c r="F35" s="48"/>
      <c r="G35" s="48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</row>
    <row r="36" spans="1:33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</row>
    <row r="37" spans="1:33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</row>
    <row r="38" spans="1:33" x14ac:dyDescent="0.2">
      <c r="A38" s="43"/>
      <c r="B38" s="56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</row>
    <row r="39" spans="1:33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</row>
    <row r="40" spans="1:33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</row>
    <row r="41" spans="1:33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</row>
    <row r="42" spans="1:33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</row>
    <row r="43" spans="1:33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</row>
    <row r="44" spans="1:33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</row>
    <row r="45" spans="1:33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</row>
    <row r="46" spans="1:33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</row>
    <row r="47" spans="1:33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</row>
    <row r="48" spans="1:33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</row>
    <row r="49" spans="1:33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</row>
    <row r="50" spans="1:33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</row>
    <row r="51" spans="1:33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</row>
  </sheetData>
  <mergeCells count="2">
    <mergeCell ref="A3:AG3"/>
    <mergeCell ref="A4:AG4"/>
  </mergeCells>
  <conditionalFormatting sqref="B29">
    <cfRule type="expression" dxfId="30" priority="3">
      <formula>B29="vervolgkeuze ↓"</formula>
    </cfRule>
  </conditionalFormatting>
  <conditionalFormatting sqref="B29">
    <cfRule type="expression" dxfId="29" priority="2">
      <formula>$B$26="valt onder Bbp en BKK"</formula>
    </cfRule>
  </conditionalFormatting>
  <conditionalFormatting sqref="B29">
    <cfRule type="expression" dxfId="28" priority="1">
      <formula>$B$26="valt onder productcertificaat"</formula>
    </cfRule>
  </conditionalFormatting>
  <dataValidations count="1">
    <dataValidation type="list" errorStyle="warning" allowBlank="1" showInputMessage="1" showErrorMessage="1" error="Ja, ongeldige gegevens invoeren. Nee, cel verder bewerken. Annuleren, vorige waarde herstellen." prompt="Vervolgkeuze geeft een lijst van mogelijke keuzes waaruit gekozen kan worden. In sommige gevallen is invoer van eigen gegevens toch mogelijk." sqref="B29:D29">
      <formula1>$B$129:$B$133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AE201"/>
  <sheetViews>
    <sheetView tabSelected="1" topLeftCell="A25" zoomScaleNormal="100" zoomScalePageLayoutView="125" workbookViewId="0">
      <selection activeCell="E56" sqref="E56:H56"/>
    </sheetView>
  </sheetViews>
  <sheetFormatPr defaultRowHeight="12.75" x14ac:dyDescent="0.2"/>
  <cols>
    <col min="1" max="1" width="2.625" style="6" customWidth="1"/>
    <col min="2" max="2" width="17" style="6" customWidth="1"/>
    <col min="3" max="3" width="2.625" style="6" customWidth="1"/>
    <col min="4" max="4" width="14.125" style="6" customWidth="1"/>
    <col min="5" max="5" width="5.125" style="6" customWidth="1"/>
    <col min="6" max="6" width="5.5" style="6" customWidth="1"/>
    <col min="7" max="7" width="4.125" style="6" customWidth="1"/>
    <col min="8" max="8" width="8.375" style="6" customWidth="1"/>
    <col min="9" max="9" width="5.125" style="6" customWidth="1"/>
    <col min="10" max="10" width="8.5" style="6" customWidth="1"/>
    <col min="11" max="11" width="14.125" style="6" customWidth="1"/>
    <col min="12" max="12" width="9" style="6"/>
    <col min="13" max="13" width="11.375" style="6" customWidth="1"/>
    <col min="14" max="14" width="11" style="6" customWidth="1"/>
    <col min="15" max="15" width="11.25" style="6" customWidth="1"/>
    <col min="16" max="17" width="9" style="6"/>
    <col min="18" max="18" width="11.5" style="6" customWidth="1"/>
    <col min="19" max="16384" width="9" style="6"/>
  </cols>
  <sheetData>
    <row r="1" spans="1:11" x14ac:dyDescent="0.2">
      <c r="A1" s="9" t="s">
        <v>78</v>
      </c>
      <c r="J1" s="71" t="s">
        <v>140</v>
      </c>
      <c r="K1" s="71"/>
    </row>
    <row r="2" spans="1:11" x14ac:dyDescent="0.2">
      <c r="A2" s="2" t="s">
        <v>189</v>
      </c>
      <c r="B2" s="3"/>
      <c r="C2" s="3"/>
      <c r="D2" s="40"/>
      <c r="E2" s="103"/>
      <c r="F2" s="117"/>
      <c r="G2" s="15"/>
      <c r="H2" s="3"/>
      <c r="I2" s="3"/>
      <c r="J2" s="3"/>
      <c r="K2" s="27" t="str">
        <f>IF(D2="","",D2)</f>
        <v/>
      </c>
    </row>
    <row r="3" spans="1:11" x14ac:dyDescent="0.2">
      <c r="A3" s="5" t="s">
        <v>13</v>
      </c>
      <c r="C3" s="7"/>
      <c r="D3" s="57">
        <v>42005</v>
      </c>
      <c r="E3" s="74" t="s">
        <v>27</v>
      </c>
      <c r="F3" s="75"/>
      <c r="G3" s="5"/>
      <c r="K3" s="41" t="str">
        <f>IF(E2="","",E2)</f>
        <v/>
      </c>
    </row>
    <row r="4" spans="1:11" x14ac:dyDescent="0.2">
      <c r="A4" s="5" t="s">
        <v>12</v>
      </c>
      <c r="C4" s="7"/>
      <c r="D4" s="97">
        <v>42005</v>
      </c>
      <c r="E4" s="97"/>
      <c r="F4" s="98"/>
      <c r="G4" s="10"/>
      <c r="K4" s="8"/>
    </row>
    <row r="5" spans="1:11" x14ac:dyDescent="0.2">
      <c r="A5" s="5" t="s">
        <v>2</v>
      </c>
      <c r="D5" s="99"/>
      <c r="E5" s="95"/>
      <c r="F5" s="96"/>
      <c r="G5" s="5"/>
      <c r="K5" s="8"/>
    </row>
    <row r="6" spans="1:11" x14ac:dyDescent="0.2">
      <c r="A6" s="5"/>
      <c r="D6" s="100"/>
      <c r="E6" s="84"/>
      <c r="F6" s="85"/>
      <c r="G6" s="5"/>
      <c r="K6" s="8"/>
    </row>
    <row r="7" spans="1:11" x14ac:dyDescent="0.2">
      <c r="A7" s="5" t="s">
        <v>0</v>
      </c>
      <c r="D7" s="92" t="s">
        <v>27</v>
      </c>
      <c r="E7" s="109"/>
      <c r="F7" s="110"/>
      <c r="G7" s="5"/>
      <c r="K7" s="8"/>
    </row>
    <row r="8" spans="1:11" x14ac:dyDescent="0.2">
      <c r="A8" s="5" t="s">
        <v>53</v>
      </c>
      <c r="D8" s="74" t="s">
        <v>27</v>
      </c>
      <c r="E8" s="74"/>
      <c r="F8" s="75"/>
      <c r="G8" s="11"/>
      <c r="H8" s="12"/>
      <c r="I8" s="12"/>
      <c r="J8" s="12"/>
      <c r="K8" s="21"/>
    </row>
    <row r="9" spans="1:11" x14ac:dyDescent="0.2">
      <c r="A9" s="5" t="s">
        <v>1</v>
      </c>
      <c r="D9" s="82"/>
      <c r="E9" s="82"/>
      <c r="F9" s="83"/>
      <c r="G9" s="2" t="str">
        <f>IF(B26="valt onder productcertificaat","Cert. instelling:","Onderzoeksbureau:")</f>
        <v>Onderzoeksbureau:</v>
      </c>
      <c r="H9" s="3"/>
      <c r="I9" s="3"/>
      <c r="J9" s="95"/>
      <c r="K9" s="96"/>
    </row>
    <row r="10" spans="1:11" x14ac:dyDescent="0.2">
      <c r="A10" s="5"/>
      <c r="D10" s="82"/>
      <c r="E10" s="82"/>
      <c r="F10" s="83"/>
      <c r="G10" s="10"/>
      <c r="J10" s="82"/>
      <c r="K10" s="83"/>
    </row>
    <row r="11" spans="1:11" x14ac:dyDescent="0.2">
      <c r="A11" s="5" t="s">
        <v>10</v>
      </c>
      <c r="C11" s="7"/>
      <c r="D11" s="101">
        <v>42005</v>
      </c>
      <c r="E11" s="101"/>
      <c r="F11" s="75"/>
      <c r="G11" s="5" t="str">
        <f>IF(B26="valt onder productcertificaat","Certificaatnummer:","Rapportnummer:")</f>
        <v>Rapportnummer:</v>
      </c>
      <c r="J11" s="74"/>
      <c r="K11" s="75"/>
    </row>
    <row r="12" spans="1:11" x14ac:dyDescent="0.2">
      <c r="A12" s="5" t="s">
        <v>11</v>
      </c>
      <c r="C12" s="7"/>
      <c r="D12" s="101">
        <v>42011</v>
      </c>
      <c r="E12" s="101"/>
      <c r="F12" s="75"/>
      <c r="G12" s="5" t="str">
        <f>IF(B26="valt onder productcertificaat","Geldig tot:","Rapportdatum:")</f>
        <v>Rapportdatum:</v>
      </c>
      <c r="J12" s="101">
        <v>42005</v>
      </c>
      <c r="K12" s="75"/>
    </row>
    <row r="13" spans="1:11" x14ac:dyDescent="0.2">
      <c r="A13" s="5" t="s">
        <v>9</v>
      </c>
      <c r="D13" s="82"/>
      <c r="E13" s="82"/>
      <c r="F13" s="83"/>
      <c r="G13" s="5" t="s">
        <v>14</v>
      </c>
      <c r="J13" s="82"/>
      <c r="K13" s="83"/>
    </row>
    <row r="14" spans="1:11" x14ac:dyDescent="0.2">
      <c r="A14" s="5"/>
      <c r="D14" s="82"/>
      <c r="E14" s="82"/>
      <c r="F14" s="83"/>
      <c r="G14" s="60" t="s">
        <v>217</v>
      </c>
      <c r="J14" s="82"/>
      <c r="K14" s="83"/>
    </row>
    <row r="15" spans="1:11" x14ac:dyDescent="0.2">
      <c r="A15" s="5" t="str">
        <f>IF(B26="valt onder productcertificaat","Herkomstlocatie:",IF(B26="BRL9335-1/AP04/VKB1001 protocol","Samenvoeglocatie:",IF(B26="BRL9321/AP04/VKB1001 protocol","Groevelocatie",IF(AA36=TRUE,"Ontgravingslocatie:",IF(AA37=TRUE,"Depotlocatie:","Bemonsteringslocatie")))))</f>
        <v>Bemonsteringslocatie</v>
      </c>
      <c r="D15" s="102"/>
      <c r="E15" s="103"/>
      <c r="F15" s="104"/>
      <c r="G15" s="5" t="s">
        <v>135</v>
      </c>
      <c r="J15" s="101">
        <v>42005</v>
      </c>
      <c r="K15" s="75"/>
    </row>
    <row r="16" spans="1:11" x14ac:dyDescent="0.2">
      <c r="A16" s="5"/>
      <c r="D16" s="105"/>
      <c r="E16" s="106"/>
      <c r="F16" s="107"/>
      <c r="G16" s="5" t="s">
        <v>15</v>
      </c>
      <c r="J16" s="111" t="s">
        <v>27</v>
      </c>
      <c r="K16" s="112"/>
    </row>
    <row r="17" spans="1:31" x14ac:dyDescent="0.2">
      <c r="A17" s="5" t="s">
        <v>6</v>
      </c>
      <c r="D17" s="74"/>
      <c r="E17" s="74"/>
      <c r="F17" s="31" t="s">
        <v>69</v>
      </c>
      <c r="G17" s="5" t="s">
        <v>16</v>
      </c>
      <c r="J17" s="111" t="s">
        <v>27</v>
      </c>
      <c r="K17" s="112"/>
    </row>
    <row r="18" spans="1:31" x14ac:dyDescent="0.2">
      <c r="A18" s="5" t="s">
        <v>7</v>
      </c>
      <c r="D18" s="74"/>
      <c r="E18" s="74"/>
      <c r="F18" s="31" t="s">
        <v>70</v>
      </c>
      <c r="G18" s="5"/>
      <c r="H18" s="6" t="s">
        <v>17</v>
      </c>
      <c r="K18" s="8"/>
      <c r="AC18" s="6" t="b">
        <v>1</v>
      </c>
    </row>
    <row r="19" spans="1:31" x14ac:dyDescent="0.2">
      <c r="A19" s="5" t="s">
        <v>8</v>
      </c>
      <c r="D19" s="86" t="str">
        <f>IF(OR(D17="",D18=""),"",D18/D17)</f>
        <v/>
      </c>
      <c r="E19" s="86"/>
      <c r="F19" s="31" t="s">
        <v>71</v>
      </c>
      <c r="G19" s="5"/>
      <c r="H19" s="6" t="s">
        <v>18</v>
      </c>
      <c r="K19" s="8"/>
      <c r="AC19" s="6" t="b">
        <v>0</v>
      </c>
    </row>
    <row r="20" spans="1:31" x14ac:dyDescent="0.2">
      <c r="A20" s="5" t="s">
        <v>5</v>
      </c>
      <c r="D20" s="102"/>
      <c r="E20" s="103"/>
      <c r="F20" s="104"/>
      <c r="G20" s="5"/>
      <c r="H20" s="6" t="str">
        <f>IF(OR($B$26="BRL9335-1/AP04/VKB1001 protocol",$B$26="BRL9321/AP04/VKB1001 protocol"),"BRL","anders:")</f>
        <v>anders:</v>
      </c>
      <c r="I20" s="82"/>
      <c r="J20" s="67"/>
      <c r="K20" s="68"/>
      <c r="AC20" s="6" t="b">
        <v>0</v>
      </c>
    </row>
    <row r="21" spans="1:31" x14ac:dyDescent="0.2">
      <c r="A21" s="5"/>
      <c r="D21" s="105"/>
      <c r="E21" s="106"/>
      <c r="F21" s="107"/>
      <c r="H21" s="6" t="str">
        <f>IF(OR($B$26="BRL9335-1/AP04/VKB1001 protocol",$B$26="BRL9321/AP04/VKB1001 protocol"),"certificaat-","")</f>
        <v/>
      </c>
      <c r="I21" s="67"/>
      <c r="J21" s="67"/>
      <c r="K21" s="68"/>
    </row>
    <row r="22" spans="1:31" x14ac:dyDescent="0.2">
      <c r="A22" s="5" t="s">
        <v>3</v>
      </c>
      <c r="D22" s="74"/>
      <c r="E22" s="74"/>
      <c r="F22" s="31" t="s">
        <v>69</v>
      </c>
      <c r="H22" s="6" t="str">
        <f>IF(OR($B$26="BRL9335-1/AP04/VKB1001 protocol",$B$26="BRL9321/AP04/VKB1001 protocol"),"houder:","")</f>
        <v/>
      </c>
      <c r="I22" s="67"/>
      <c r="J22" s="67"/>
      <c r="K22" s="68"/>
    </row>
    <row r="23" spans="1:31" x14ac:dyDescent="0.2">
      <c r="A23" s="5" t="s">
        <v>4</v>
      </c>
      <c r="D23" s="74"/>
      <c r="E23" s="74"/>
      <c r="F23" s="31" t="s">
        <v>70</v>
      </c>
      <c r="G23" s="5"/>
      <c r="I23" s="67"/>
      <c r="J23" s="67"/>
      <c r="K23" s="68"/>
    </row>
    <row r="24" spans="1:31" ht="12.75" customHeight="1" x14ac:dyDescent="0.2">
      <c r="A24" s="11" t="s">
        <v>8</v>
      </c>
      <c r="B24" s="12"/>
      <c r="C24" s="12"/>
      <c r="D24" s="113" t="str">
        <f>IF(OR(D22="",D23=""),"",D23/D22)</f>
        <v/>
      </c>
      <c r="E24" s="113"/>
      <c r="F24" s="1" t="s">
        <v>71</v>
      </c>
      <c r="G24" s="11"/>
      <c r="H24" s="6" t="str">
        <f>IF(OR($B$26="BRL9335-1/AP04/VKB1001 protocol",$B$26="BRL9321/AP04/VKB1001 protocol"),"cert.nr.:","")</f>
        <v/>
      </c>
      <c r="I24" s="84"/>
      <c r="J24" s="69"/>
      <c r="K24" s="70"/>
      <c r="AE24" s="6">
        <f>IF(H24="",1,0)</f>
        <v>1</v>
      </c>
    </row>
    <row r="25" spans="1:31" x14ac:dyDescent="0.2">
      <c r="A25" s="2" t="s">
        <v>20</v>
      </c>
      <c r="B25" s="3"/>
      <c r="C25" s="3"/>
      <c r="D25" s="3"/>
      <c r="E25" s="3"/>
      <c r="F25" s="4"/>
      <c r="G25" s="2" t="s">
        <v>39</v>
      </c>
      <c r="H25" s="3"/>
      <c r="I25" s="3"/>
      <c r="J25" s="3"/>
      <c r="K25" s="4"/>
    </row>
    <row r="26" spans="1:31" x14ac:dyDescent="0.2">
      <c r="A26" s="5"/>
      <c r="B26" s="72" t="s">
        <v>27</v>
      </c>
      <c r="C26" s="72"/>
      <c r="D26" s="72"/>
      <c r="F26" s="8"/>
      <c r="G26" s="5"/>
      <c r="H26" s="6" t="s">
        <v>190</v>
      </c>
      <c r="J26" s="72"/>
      <c r="K26" s="73"/>
      <c r="AA26" s="6" t="b">
        <v>0</v>
      </c>
      <c r="AC26" s="6" t="b">
        <v>0</v>
      </c>
    </row>
    <row r="27" spans="1:31" x14ac:dyDescent="0.2">
      <c r="A27" s="5" t="s">
        <v>38</v>
      </c>
      <c r="D27" s="74"/>
      <c r="E27" s="74"/>
      <c r="F27" s="75"/>
      <c r="G27" s="5"/>
      <c r="H27" s="6" t="s">
        <v>45</v>
      </c>
      <c r="I27" s="80"/>
      <c r="J27" s="80"/>
      <c r="K27" s="81"/>
    </row>
    <row r="28" spans="1:31" x14ac:dyDescent="0.2">
      <c r="A28" s="5"/>
      <c r="B28" s="9" t="str">
        <f>IF(OR(B26="AP04/VKB1001 protocol",B26="BRL9335-1/AP04/VKB1001 protocol",B26="BRL9321/AP04/VKB1001 protocol"),"standaardpakket Bbk grond",IF(B26="AP04/VKB1002 protocol","Pakket s.s. organische par. en uitl. anorg. param.","standaardpakket"))</f>
        <v>standaardpakket</v>
      </c>
      <c r="F28" s="8"/>
      <c r="G28" s="5"/>
      <c r="H28" s="6" t="str">
        <f>IF(B26="AP04/VKB1002 protocol","% grond/bagger:","% bodemvreemd:")</f>
        <v>% bodemvreemd:</v>
      </c>
      <c r="J28" s="29"/>
      <c r="K28" s="30" t="s">
        <v>110</v>
      </c>
      <c r="AA28" s="6" t="b">
        <v>0</v>
      </c>
      <c r="AC28" s="6" t="b">
        <v>0</v>
      </c>
    </row>
    <row r="29" spans="1:31" x14ac:dyDescent="0.2">
      <c r="A29" s="5"/>
      <c r="B29" s="13" t="s">
        <v>22</v>
      </c>
      <c r="F29" s="8"/>
      <c r="G29" s="5"/>
      <c r="H29" s="6" t="s">
        <v>109</v>
      </c>
      <c r="I29" s="72" t="s">
        <v>27</v>
      </c>
      <c r="J29" s="72"/>
      <c r="K29" s="73"/>
    </row>
    <row r="30" spans="1:31" x14ac:dyDescent="0.2">
      <c r="A30" s="5"/>
      <c r="B30" s="13" t="s">
        <v>23</v>
      </c>
      <c r="F30" s="8"/>
      <c r="G30" s="5"/>
      <c r="H30" s="6" t="s">
        <v>44</v>
      </c>
      <c r="I30" s="72" t="s">
        <v>27</v>
      </c>
      <c r="J30" s="72"/>
      <c r="K30" s="73"/>
      <c r="AC30" s="6" t="b">
        <v>0</v>
      </c>
    </row>
    <row r="31" spans="1:31" x14ac:dyDescent="0.2">
      <c r="A31" s="5"/>
      <c r="B31" s="6" t="s">
        <v>66</v>
      </c>
      <c r="D31" s="72"/>
      <c r="E31" s="72"/>
      <c r="F31" s="73"/>
      <c r="G31" s="11"/>
      <c r="H31" s="12" t="s">
        <v>19</v>
      </c>
      <c r="I31" s="78"/>
      <c r="J31" s="78"/>
      <c r="K31" s="79"/>
      <c r="AC31" s="6" t="b">
        <v>0</v>
      </c>
    </row>
    <row r="32" spans="1:31" x14ac:dyDescent="0.2">
      <c r="A32" s="5"/>
      <c r="B32" s="6" t="str">
        <f>IF(B26="BRL9335-1/AP04/VKB1001 protocol","herkomstlocatie(s):","vooronderzoek voldoet?")</f>
        <v>vooronderzoek voldoet?</v>
      </c>
      <c r="D32" s="76" t="s">
        <v>27</v>
      </c>
      <c r="E32" s="76"/>
      <c r="F32" s="77"/>
      <c r="G32" s="2" t="s">
        <v>67</v>
      </c>
      <c r="H32" s="3"/>
      <c r="I32" s="3"/>
      <c r="J32" s="3"/>
      <c r="K32" s="4"/>
    </row>
    <row r="33" spans="1:29" x14ac:dyDescent="0.2">
      <c r="A33" s="5"/>
      <c r="B33" s="6" t="str">
        <f>IF(G146&gt;0,"percentage grond/bagger:","percentage bodemvreemd:")</f>
        <v>percentage bodemvreemd:</v>
      </c>
      <c r="D33" s="72" t="s">
        <v>27</v>
      </c>
      <c r="E33" s="72"/>
      <c r="F33" s="73"/>
      <c r="G33" s="5" t="str">
        <f>IF(B26="valt onder Bbp en BKK","Kwaliteit conform BKK:",IF(B26="valt onder productcertificaat","Kwaliteit conform grondbewijs:","Rapport - resultaat/conclusie Bbk:"))</f>
        <v>Rapport - resultaat/conclusie Bbk:</v>
      </c>
      <c r="K33" s="8" t="s">
        <v>27</v>
      </c>
    </row>
    <row r="34" spans="1:29" x14ac:dyDescent="0.2">
      <c r="A34" s="5"/>
      <c r="B34" s="6" t="s">
        <v>26</v>
      </c>
      <c r="D34" s="72" t="s">
        <v>27</v>
      </c>
      <c r="E34" s="72"/>
      <c r="F34" s="73"/>
      <c r="G34" s="5" t="s">
        <v>119</v>
      </c>
      <c r="H34" s="82" t="s">
        <v>27</v>
      </c>
      <c r="I34" s="82"/>
      <c r="J34" s="82"/>
      <c r="K34" s="83"/>
    </row>
    <row r="35" spans="1:29" x14ac:dyDescent="0.2">
      <c r="A35" s="5"/>
      <c r="B35" s="6" t="str">
        <f>IF(B26="BRL9335-1/AP04/VKB1001 protocol","9335 ingenomen kwaliteit:","anders:")</f>
        <v>anders:</v>
      </c>
      <c r="D35" s="72" t="s">
        <v>27</v>
      </c>
      <c r="E35" s="72"/>
      <c r="F35" s="73"/>
      <c r="G35" s="5" t="s">
        <v>120</v>
      </c>
      <c r="K35" s="8" t="s">
        <v>27</v>
      </c>
    </row>
    <row r="36" spans="1:29" x14ac:dyDescent="0.2">
      <c r="A36" s="5"/>
      <c r="B36" s="6" t="s">
        <v>28</v>
      </c>
      <c r="D36" s="72"/>
      <c r="E36" s="72"/>
      <c r="F36" s="8" t="s">
        <v>107</v>
      </c>
      <c r="G36" s="5" t="str">
        <f>IF(AND(B26="BRL9335-1/AP04/VKB1001 protocol",OR(D35="AW2000",D35="wonen",D35="industrie")),"op basis inname BRL9335-1 als:",IF(H128=1,"op basis van parameter(s)",""))</f>
        <v/>
      </c>
      <c r="K36" s="8" t="str">
        <f>IF(AND(B26="BRL9335-1/AP04/VKB1001 protocol",OR(D35="AW2000",D35="wonen",D35="industrie")),D35,"")</f>
        <v/>
      </c>
      <c r="AA36" s="6" t="b">
        <v>0</v>
      </c>
    </row>
    <row r="37" spans="1:29" x14ac:dyDescent="0.2">
      <c r="A37" s="5"/>
      <c r="B37" s="6" t="s">
        <v>29</v>
      </c>
      <c r="F37" s="8"/>
      <c r="G37" s="11" t="s">
        <v>119</v>
      </c>
      <c r="H37" s="84" t="s">
        <v>27</v>
      </c>
      <c r="I37" s="84"/>
      <c r="J37" s="84"/>
      <c r="K37" s="85"/>
      <c r="AA37" s="6" t="b">
        <v>0</v>
      </c>
    </row>
    <row r="38" spans="1:29" x14ac:dyDescent="0.2">
      <c r="A38" s="5"/>
      <c r="B38" s="6" t="s">
        <v>30</v>
      </c>
      <c r="D38" s="6" t="s">
        <v>31</v>
      </c>
      <c r="E38" s="72"/>
      <c r="F38" s="73"/>
      <c r="G38" s="15"/>
      <c r="H38" s="3" t="str">
        <f>IF(B26="valt onder bbp en BKK","fysische kwaliteit geen belemmering?","beschrijving materiaal:")</f>
        <v>beschrijving materiaal:</v>
      </c>
      <c r="I38" s="3"/>
      <c r="J38" s="32"/>
      <c r="K38" s="33"/>
      <c r="AC38" s="6" t="b">
        <v>0</v>
      </c>
    </row>
    <row r="39" spans="1:29" x14ac:dyDescent="0.2">
      <c r="A39" s="5" t="s">
        <v>108</v>
      </c>
      <c r="D39" s="72"/>
      <c r="E39" s="72"/>
      <c r="F39" s="73"/>
      <c r="G39" s="108"/>
      <c r="H39" s="82"/>
      <c r="I39" s="82"/>
      <c r="J39" s="82"/>
      <c r="K39" s="83"/>
    </row>
    <row r="40" spans="1:29" x14ac:dyDescent="0.2">
      <c r="A40" s="5"/>
      <c r="B40" s="6" t="s">
        <v>76</v>
      </c>
      <c r="D40" s="72" t="s">
        <v>27</v>
      </c>
      <c r="E40" s="72"/>
      <c r="F40" s="73"/>
      <c r="G40" s="108"/>
      <c r="H40" s="82"/>
      <c r="I40" s="82"/>
      <c r="J40" s="82"/>
      <c r="K40" s="83"/>
    </row>
    <row r="41" spans="1:29" x14ac:dyDescent="0.2">
      <c r="A41" s="11"/>
      <c r="B41" s="12" t="s">
        <v>32</v>
      </c>
      <c r="C41" s="12"/>
      <c r="D41" s="62" t="s">
        <v>27</v>
      </c>
      <c r="E41" s="62"/>
      <c r="F41" s="87"/>
      <c r="G41" s="100"/>
      <c r="H41" s="84"/>
      <c r="I41" s="84"/>
      <c r="J41" s="84"/>
      <c r="K41" s="85"/>
    </row>
    <row r="42" spans="1:29" x14ac:dyDescent="0.2">
      <c r="A42" s="2" t="s">
        <v>54</v>
      </c>
      <c r="B42" s="3"/>
      <c r="C42" s="3"/>
      <c r="D42" s="3"/>
      <c r="E42" s="95"/>
      <c r="F42" s="95"/>
      <c r="G42" s="95"/>
      <c r="H42" s="95"/>
      <c r="I42" s="95"/>
      <c r="J42" s="95"/>
      <c r="K42" s="96"/>
    </row>
    <row r="43" spans="1:29" x14ac:dyDescent="0.2">
      <c r="A43" s="5"/>
      <c r="B43" s="6" t="s">
        <v>117</v>
      </c>
      <c r="K43" s="14"/>
      <c r="AA43" s="6" t="b">
        <v>0</v>
      </c>
    </row>
    <row r="44" spans="1:29" x14ac:dyDescent="0.2">
      <c r="A44" s="10" t="s">
        <v>58</v>
      </c>
      <c r="K44" s="8"/>
    </row>
    <row r="45" spans="1:29" x14ac:dyDescent="0.2">
      <c r="A45" s="5"/>
      <c r="B45" s="72" t="s">
        <v>27</v>
      </c>
      <c r="C45" s="72"/>
      <c r="D45" s="72"/>
      <c r="E45" s="72"/>
      <c r="F45" s="72"/>
      <c r="G45" s="72"/>
      <c r="H45" s="72"/>
      <c r="I45" s="72"/>
      <c r="J45" s="72"/>
      <c r="K45" s="73"/>
      <c r="AA45" s="6" t="b">
        <v>0</v>
      </c>
    </row>
    <row r="46" spans="1:29" x14ac:dyDescent="0.2">
      <c r="A46" s="11"/>
      <c r="B46" s="62" t="s">
        <v>27</v>
      </c>
      <c r="C46" s="62"/>
      <c r="D46" s="62"/>
      <c r="E46" s="62"/>
      <c r="F46" s="62"/>
      <c r="G46" s="62"/>
      <c r="H46" s="62"/>
      <c r="I46" s="62"/>
      <c r="J46" s="62"/>
      <c r="K46" s="87"/>
    </row>
    <row r="47" spans="1:29" x14ac:dyDescent="0.2">
      <c r="A47" s="2" t="s">
        <v>63</v>
      </c>
      <c r="B47" s="3"/>
      <c r="C47" s="3"/>
      <c r="D47" s="3"/>
      <c r="E47" s="3"/>
      <c r="F47" s="3"/>
      <c r="G47" s="3"/>
      <c r="H47" s="3"/>
      <c r="I47" s="3"/>
      <c r="J47" s="3"/>
      <c r="K47" s="4"/>
    </row>
    <row r="48" spans="1:29" x14ac:dyDescent="0.2">
      <c r="A48" s="5" t="s">
        <v>60</v>
      </c>
      <c r="D48" s="72" t="s">
        <v>27</v>
      </c>
      <c r="E48" s="72"/>
      <c r="F48" s="72"/>
      <c r="G48" s="72"/>
      <c r="H48" s="72"/>
      <c r="I48" s="72"/>
      <c r="J48" s="72"/>
      <c r="K48" s="73"/>
    </row>
    <row r="49" spans="1:28" x14ac:dyDescent="0.2">
      <c r="A49" s="11" t="s">
        <v>68</v>
      </c>
      <c r="B49" s="12"/>
      <c r="C49" s="12"/>
      <c r="D49" s="62" t="s">
        <v>27</v>
      </c>
      <c r="E49" s="62"/>
      <c r="F49" s="62"/>
      <c r="G49" s="62"/>
      <c r="H49" s="62"/>
      <c r="I49" s="62"/>
      <c r="J49" s="62"/>
      <c r="K49" s="87"/>
    </row>
    <row r="50" spans="1:28" x14ac:dyDescent="0.2">
      <c r="A50" s="15"/>
      <c r="B50" s="3" t="str">
        <f>IF(G146=1,"NVG-bouwstof",IF(G146=2,"VG-bouwstof",IF(G146=3,"IBC-bouwstof","GBT")))</f>
        <v>GBT</v>
      </c>
      <c r="C50" s="3"/>
      <c r="D50" s="42" t="str">
        <f>IF(G146&gt;0,"Σ(Si,Ca,Al)≥10% (m/m) (≠ vlakglas; metallisch Al; grond/bagger)","GBT is minimaal 5000 m3 en minimaal 2m dik")</f>
        <v>GBT is minimaal 5000 m3 en minimaal 2m dik</v>
      </c>
      <c r="E50" s="3"/>
      <c r="F50" s="3"/>
      <c r="G50" s="3"/>
      <c r="H50" s="3"/>
      <c r="I50" s="3"/>
      <c r="J50" s="95" t="str">
        <f>IF(AB52=TRUE,"afdeklaag (schil) GBT minimaal 0,5 m dik","")</f>
        <v/>
      </c>
      <c r="K50" s="96"/>
      <c r="AA50" s="6" t="b">
        <v>0</v>
      </c>
      <c r="AB50" s="6" t="b">
        <v>0</v>
      </c>
    </row>
    <row r="51" spans="1:28" x14ac:dyDescent="0.2">
      <c r="A51" s="5"/>
      <c r="D51" s="54" t="str">
        <f>IF(G146=1,"afleverbon aanwezig",IF(G146=2,"afleverbon aanwezig",IF(G146=3,"niet toegepast in oppervlaktewater","kern = maximaal Industrie &amp; E voldoet")))</f>
        <v>kern = maximaal Industrie &amp; E voldoet</v>
      </c>
      <c r="J51" s="82"/>
      <c r="K51" s="83"/>
      <c r="AB51" s="6" t="b">
        <v>0</v>
      </c>
    </row>
    <row r="52" spans="1:28" x14ac:dyDescent="0.2">
      <c r="A52" s="11"/>
      <c r="B52" s="12"/>
      <c r="C52" s="12"/>
      <c r="D52" s="55" t="str">
        <f>IF(G146=1,"hergebruik zonder verandering eigenaar = melden",IF(G146=2,"hergebruik zonder verandering eigenaar = melden",IF(G146=3,"ontwerp goedgekeurd Advieskamer Bodembescherming","schil = toetsing conform bodem ↓ ")))</f>
        <v xml:space="preserve">schil = toetsing conform bodem ↓ </v>
      </c>
      <c r="E52" s="12"/>
      <c r="F52" s="12"/>
      <c r="G52" s="12"/>
      <c r="H52" s="12"/>
      <c r="I52" s="12"/>
      <c r="J52" s="84"/>
      <c r="K52" s="85"/>
      <c r="AB52" s="6" t="b">
        <v>0</v>
      </c>
    </row>
    <row r="53" spans="1:28" x14ac:dyDescent="0.2">
      <c r="A53" s="15"/>
      <c r="B53" s="3" t="str">
        <f>IF(G146=1,"",IF(G146=2,"",IF(G146=3,"","Bodem")))</f>
        <v>Bodem</v>
      </c>
      <c r="C53" s="3"/>
      <c r="D53" s="42" t="str">
        <f>IF(G146=1,"",IF(G146=2,"duurzaam vormvast",IF(G146=3,"minimaal 10.000 m3 aaneengesloten","Functie ter plekke")))</f>
        <v>Functie ter plekke</v>
      </c>
      <c r="E53" s="3"/>
      <c r="F53" s="3"/>
      <c r="G53" s="91" t="s">
        <v>27</v>
      </c>
      <c r="H53" s="92"/>
      <c r="I53" s="92"/>
      <c r="J53" s="95"/>
      <c r="K53" s="96"/>
      <c r="AA53" s="6" t="b">
        <v>0</v>
      </c>
      <c r="AB53" s="6" t="b">
        <v>0</v>
      </c>
    </row>
    <row r="54" spans="1:28" x14ac:dyDescent="0.2">
      <c r="A54" s="5"/>
      <c r="D54" s="54" t="str">
        <f>IF(G146=1,"",IF(G146=2,"",IF(G146=3,"IBC boven/zijkant en ≥0,5 m + GWS","Kwaliteit ter plekke")))</f>
        <v>Kwaliteit ter plekke</v>
      </c>
      <c r="G54" s="93" t="s">
        <v>27</v>
      </c>
      <c r="H54" s="72"/>
      <c r="I54" s="72"/>
      <c r="J54" s="82"/>
      <c r="K54" s="83"/>
      <c r="AB54" s="6" t="b">
        <v>0</v>
      </c>
    </row>
    <row r="55" spans="1:28" x14ac:dyDescent="0.2">
      <c r="A55" s="11"/>
      <c r="B55" s="12"/>
      <c r="C55" s="12"/>
      <c r="D55" s="55" t="str">
        <f>IF(G146=1,"",IF(G146=2,"",IF(G146=3,"controle en onderhoud vindt plaats","Verdacht/uitgesloten BKK?")))</f>
        <v>Verdacht/uitgesloten BKK?</v>
      </c>
      <c r="E55" s="12"/>
      <c r="F55" s="12"/>
      <c r="G55" s="94" t="s">
        <v>27</v>
      </c>
      <c r="H55" s="62"/>
      <c r="I55" s="62"/>
      <c r="J55" s="84"/>
      <c r="K55" s="85"/>
      <c r="AB55" s="6" t="b">
        <v>0</v>
      </c>
    </row>
    <row r="56" spans="1:28" x14ac:dyDescent="0.2">
      <c r="A56" s="16" t="s">
        <v>64</v>
      </c>
      <c r="B56" s="17"/>
      <c r="C56" s="17"/>
      <c r="D56" s="17"/>
      <c r="E56" s="88" t="s">
        <v>27</v>
      </c>
      <c r="F56" s="89"/>
      <c r="G56" s="89"/>
      <c r="H56" s="90"/>
      <c r="I56" s="17"/>
      <c r="J56" s="18"/>
      <c r="K56" s="19"/>
    </row>
    <row r="57" spans="1:28" ht="14.25" x14ac:dyDescent="0.2">
      <c r="A57" s="15"/>
      <c r="B57" s="3"/>
      <c r="C57" s="115"/>
      <c r="D57" s="116"/>
      <c r="E57" s="116"/>
      <c r="G57" s="64" t="str">
        <f>IF(B26="BRL9335-1/AP04/VKB1001 protocol","Opmerking: Conform BRL9335-1 kan de kwaliteit van de samengevoegde partij na toetsing nooit gunstiger worden gekwalificeerd dan de kwaliteit van de individuele partijen voor samenvoeging","")</f>
        <v/>
      </c>
      <c r="H57" s="65"/>
      <c r="I57" s="65"/>
      <c r="J57" s="65"/>
      <c r="K57" s="66"/>
    </row>
    <row r="58" spans="1:28" ht="14.25" x14ac:dyDescent="0.2">
      <c r="A58" s="10" t="s">
        <v>65</v>
      </c>
      <c r="C58" s="124" t="s">
        <v>27</v>
      </c>
      <c r="D58" s="80"/>
      <c r="E58" s="80"/>
      <c r="F58" s="125"/>
      <c r="G58" s="67"/>
      <c r="H58" s="67"/>
      <c r="I58" s="67"/>
      <c r="J58" s="67"/>
      <c r="K58" s="68"/>
    </row>
    <row r="59" spans="1:28" ht="14.25" x14ac:dyDescent="0.2">
      <c r="A59" s="114"/>
      <c r="B59" s="63"/>
      <c r="C59" s="62"/>
      <c r="D59" s="63"/>
      <c r="E59" s="63"/>
      <c r="F59" s="58"/>
      <c r="G59" s="69"/>
      <c r="H59" s="69"/>
      <c r="I59" s="69"/>
      <c r="J59" s="69"/>
      <c r="K59" s="70"/>
    </row>
    <row r="60" spans="1:28" x14ac:dyDescent="0.2">
      <c r="A60" s="15" t="s">
        <v>59</v>
      </c>
      <c r="B60" s="3"/>
      <c r="C60" s="3"/>
      <c r="D60" s="42" t="str">
        <f>IF(B26="BRL9335-1/AP04/VKB1001 protocol","Na afloop dient er een grondbewijs BRL9335-1 overlegd te worden.","")</f>
        <v/>
      </c>
      <c r="E60" s="3"/>
      <c r="F60" s="3"/>
      <c r="G60" s="3"/>
      <c r="H60" s="3"/>
      <c r="I60" s="3"/>
      <c r="J60" s="3"/>
      <c r="K60" s="4"/>
    </row>
    <row r="61" spans="1:28" x14ac:dyDescent="0.2">
      <c r="A61" s="118"/>
      <c r="B61" s="119"/>
      <c r="C61" s="119"/>
      <c r="D61" s="119"/>
      <c r="E61" s="119"/>
      <c r="F61" s="119"/>
      <c r="G61" s="119"/>
      <c r="H61" s="119"/>
      <c r="I61" s="119"/>
      <c r="J61" s="119"/>
      <c r="K61" s="120"/>
    </row>
    <row r="62" spans="1:28" x14ac:dyDescent="0.2">
      <c r="A62" s="118"/>
      <c r="B62" s="119"/>
      <c r="C62" s="119"/>
      <c r="D62" s="119"/>
      <c r="E62" s="119"/>
      <c r="F62" s="119"/>
      <c r="G62" s="119"/>
      <c r="H62" s="119"/>
      <c r="I62" s="119"/>
      <c r="J62" s="119"/>
      <c r="K62" s="120"/>
    </row>
    <row r="63" spans="1:28" x14ac:dyDescent="0.2">
      <c r="A63" s="121"/>
      <c r="B63" s="122"/>
      <c r="C63" s="122"/>
      <c r="D63" s="122"/>
      <c r="E63" s="122"/>
      <c r="F63" s="122"/>
      <c r="G63" s="122"/>
      <c r="H63" s="122"/>
      <c r="I63" s="122"/>
      <c r="J63" s="122"/>
      <c r="K63" s="123"/>
    </row>
    <row r="64" spans="1:28" x14ac:dyDescent="0.2">
      <c r="A64" s="6" t="str">
        <f>IF(G146&gt;0,"Opmerking:","")</f>
        <v/>
      </c>
    </row>
    <row r="65" spans="1:1" x14ac:dyDescent="0.2">
      <c r="A65" s="6" t="str">
        <f>IF(G146&gt;0,"Een toepassing van een nvg-bouwwstof conform het Bbk in een werk dient nuttig te zijn (art. 5). Degene die een bouwstof","")</f>
        <v/>
      </c>
    </row>
    <row r="66" spans="1:1" x14ac:dyDescent="0.2">
      <c r="A66" s="6" t="str">
        <f>IF(G146&gt;0,"toepast, draagt er zorg voor dat die bouwstof: a) niet met de bodem wordt vermengd; b) kan worden verwijderd; en c)","")</f>
        <v/>
      </c>
    </row>
    <row r="67" spans="1:1" x14ac:dyDescent="0.2">
      <c r="A67" s="6" t="str">
        <f>IF(G146&gt;0,"wordt verwijderd als het werk zijn functie verliest (art. 33).","")</f>
        <v/>
      </c>
    </row>
    <row r="127" spans="2:11" x14ac:dyDescent="0.2">
      <c r="B127" s="34">
        <v>39448</v>
      </c>
      <c r="D127" s="6">
        <f>IF(K33="toepasbare IBC-bouwstof",D12-D11,NETWORKDAYS(D11,D12,0))</f>
        <v>5</v>
      </c>
      <c r="E127" s="6">
        <f>IF(K33="toepasbare IBC-bouwstof",(IF(D127&lt;=0,0,IF(AND(D127&gt;0,D127&lt;30),1,IF(D127&gt;=30,2)))),(IF(D127&lt;=0,0,IF(AND(D127&gt;0,D127&lt;5),1,IF(D127&gt;=5,2,"fout")))))</f>
        <v>2</v>
      </c>
      <c r="H127" s="6" t="str">
        <f>IF(C58="goedgekeurd",0,IF(C58="geweigerd/afgekeurd",1,""))</f>
        <v/>
      </c>
      <c r="J127" s="6" t="b">
        <v>0</v>
      </c>
      <c r="K127" s="6" t="b">
        <v>0</v>
      </c>
    </row>
    <row r="128" spans="2:11" x14ac:dyDescent="0.2">
      <c r="H128" s="6">
        <f>IF(K35="",0,IF(K35="AW2000",0,IF(K35="vervolgkeuze ↓",0,1)))</f>
        <v>0</v>
      </c>
      <c r="J128" s="6" t="b">
        <v>0</v>
      </c>
      <c r="K128" s="6" t="b">
        <v>0</v>
      </c>
    </row>
    <row r="129" spans="2:15" x14ac:dyDescent="0.2">
      <c r="B129" s="6" t="s">
        <v>27</v>
      </c>
      <c r="C129" s="6" t="s">
        <v>27</v>
      </c>
      <c r="D129" s="6" t="s">
        <v>27</v>
      </c>
      <c r="F129" s="6" t="s">
        <v>27</v>
      </c>
      <c r="H129" s="6" t="s">
        <v>27</v>
      </c>
      <c r="I129" s="6" t="s">
        <v>27</v>
      </c>
    </row>
    <row r="130" spans="2:15" x14ac:dyDescent="0.2">
      <c r="B130" s="6" t="s">
        <v>24</v>
      </c>
      <c r="C130" s="6" t="s">
        <v>24</v>
      </c>
      <c r="D130" s="6" t="s">
        <v>33</v>
      </c>
      <c r="F130" s="6" t="s">
        <v>56</v>
      </c>
      <c r="H130" s="6" t="s">
        <v>111</v>
      </c>
      <c r="I130" s="6" t="s">
        <v>114</v>
      </c>
      <c r="M130" s="6" t="s">
        <v>27</v>
      </c>
      <c r="O130" s="6" t="s">
        <v>27</v>
      </c>
    </row>
    <row r="131" spans="2:15" x14ac:dyDescent="0.2">
      <c r="B131" s="6" t="s">
        <v>25</v>
      </c>
      <c r="C131" s="6" t="s">
        <v>124</v>
      </c>
      <c r="D131" s="6" t="s">
        <v>34</v>
      </c>
      <c r="F131" s="6" t="s">
        <v>57</v>
      </c>
      <c r="H131" s="6" t="s">
        <v>40</v>
      </c>
      <c r="I131" s="6" t="s">
        <v>115</v>
      </c>
      <c r="M131" s="6" t="s">
        <v>121</v>
      </c>
      <c r="O131" s="6" t="s">
        <v>126</v>
      </c>
    </row>
    <row r="132" spans="2:15" x14ac:dyDescent="0.2">
      <c r="B132" s="6" t="s">
        <v>19</v>
      </c>
      <c r="D132" s="6" t="s">
        <v>37</v>
      </c>
      <c r="H132" s="6" t="s">
        <v>41</v>
      </c>
      <c r="I132" s="6" t="s">
        <v>19</v>
      </c>
      <c r="M132" s="6" t="s">
        <v>122</v>
      </c>
      <c r="O132" s="6" t="s">
        <v>127</v>
      </c>
    </row>
    <row r="133" spans="2:15" x14ac:dyDescent="0.2">
      <c r="D133" s="6" t="s">
        <v>35</v>
      </c>
      <c r="H133" s="6" t="s">
        <v>118</v>
      </c>
      <c r="M133" s="6" t="s">
        <v>123</v>
      </c>
      <c r="O133" s="6" t="s">
        <v>128</v>
      </c>
    </row>
    <row r="134" spans="2:15" x14ac:dyDescent="0.2">
      <c r="D134" s="6" t="s">
        <v>36</v>
      </c>
      <c r="H134" s="6" t="s">
        <v>42</v>
      </c>
      <c r="O134" s="6" t="s">
        <v>129</v>
      </c>
    </row>
    <row r="135" spans="2:15" x14ac:dyDescent="0.2">
      <c r="D135" s="6" t="s">
        <v>191</v>
      </c>
      <c r="H135" s="6" t="s">
        <v>43</v>
      </c>
    </row>
    <row r="136" spans="2:15" x14ac:dyDescent="0.2">
      <c r="D136" s="6" t="s">
        <v>77</v>
      </c>
      <c r="H136" s="6" t="s">
        <v>112</v>
      </c>
    </row>
    <row r="137" spans="2:15" x14ac:dyDescent="0.2">
      <c r="D137" s="6" t="s">
        <v>19</v>
      </c>
      <c r="H137" s="6" t="s">
        <v>113</v>
      </c>
    </row>
    <row r="138" spans="2:15" x14ac:dyDescent="0.2">
      <c r="H138" s="6" t="s">
        <v>19</v>
      </c>
    </row>
    <row r="139" spans="2:15" x14ac:dyDescent="0.2">
      <c r="B139" s="6" t="s">
        <v>27</v>
      </c>
      <c r="C139" s="6" t="s">
        <v>27</v>
      </c>
      <c r="D139" s="6" t="s">
        <v>27</v>
      </c>
      <c r="I139" s="6" t="s">
        <v>27</v>
      </c>
      <c r="K139" s="6" t="s">
        <v>27</v>
      </c>
      <c r="M139" s="6" t="s">
        <v>27</v>
      </c>
      <c r="O139" s="6" t="s">
        <v>131</v>
      </c>
    </row>
    <row r="140" spans="2:15" x14ac:dyDescent="0.2">
      <c r="C140" s="6" t="s">
        <v>116</v>
      </c>
      <c r="D140" s="6" t="s">
        <v>50</v>
      </c>
      <c r="I140" s="6" t="s">
        <v>72</v>
      </c>
      <c r="K140" s="6" t="str">
        <f>IF(B26="BRL9335-1/AP04/VKB1001 protocol","","ja")</f>
        <v>ja</v>
      </c>
      <c r="M140" s="6" t="str">
        <f>IF(B26="BRL9335-1/AP04/VKB1001 protocol","","zie opmerkingen")</f>
        <v>zie opmerkingen</v>
      </c>
      <c r="O140" s="6" t="s">
        <v>133</v>
      </c>
    </row>
    <row r="141" spans="2:15" x14ac:dyDescent="0.2">
      <c r="B141" s="6" t="s">
        <v>46</v>
      </c>
      <c r="C141" s="6" t="s">
        <v>46</v>
      </c>
      <c r="D141" s="6" t="s">
        <v>51</v>
      </c>
      <c r="I141" s="6" t="s">
        <v>73</v>
      </c>
      <c r="K141" s="6" t="str">
        <f>IF(B26="BRL9335-1/AP04/VKB1001 protocol","","vooronderzoek is matig")</f>
        <v>vooronderzoek is matig</v>
      </c>
      <c r="M141" s="6" t="str">
        <f>IF(B26="BRL9335-1/AP04/VKB1001 protocol","","RAW-zeving")</f>
        <v>RAW-zeving</v>
      </c>
    </row>
    <row r="142" spans="2:15" x14ac:dyDescent="0.2">
      <c r="B142" s="6" t="s">
        <v>47</v>
      </c>
      <c r="C142" s="6" t="s">
        <v>47</v>
      </c>
      <c r="D142" s="6" t="s">
        <v>52</v>
      </c>
      <c r="I142" s="6" t="s">
        <v>74</v>
      </c>
      <c r="K142" s="6" t="str">
        <f>IF(B26="BRL9335-1/AP04/VKB1001 protocol","","ontstaangeschiedenis partij beschreven")</f>
        <v>ontstaangeschiedenis partij beschreven</v>
      </c>
      <c r="M142" s="6" t="str">
        <f>IF(B26="BRL9335-1/AP04/VKB1001 protocol","AW2000","")</f>
        <v/>
      </c>
    </row>
    <row r="143" spans="2:15" x14ac:dyDescent="0.2">
      <c r="B143" s="6" t="s">
        <v>48</v>
      </c>
      <c r="C143" s="6" t="s">
        <v>48</v>
      </c>
      <c r="I143" s="6" t="s">
        <v>75</v>
      </c>
      <c r="K143" s="6" t="str">
        <f>IF(B26="BRL9335-1/AP04/VKB1001 protocol","","conform NEN5725 (NEN5717)")</f>
        <v>conform NEN5725 (NEN5717)</v>
      </c>
      <c r="M143" s="6" t="s">
        <v>47</v>
      </c>
    </row>
    <row r="144" spans="2:15" x14ac:dyDescent="0.2">
      <c r="B144" s="6" t="s">
        <v>49</v>
      </c>
      <c r="C144" s="6" t="s">
        <v>49</v>
      </c>
      <c r="I144" s="6" t="s">
        <v>191</v>
      </c>
      <c r="K144" s="6" t="str">
        <f>IF(B26="BRL9335-1/AP04/VKB1001 protocol","","nee, zie opm. ↓")</f>
        <v>nee, zie opm. ↓</v>
      </c>
      <c r="M144" s="6" t="s">
        <v>48</v>
      </c>
    </row>
    <row r="145" spans="2:19" x14ac:dyDescent="0.2">
      <c r="C145" s="6" t="s">
        <v>194</v>
      </c>
      <c r="F145" s="6">
        <f>IF(K33="toepasbare NVG-bouwstof",1,0)</f>
        <v>0</v>
      </c>
      <c r="I145" s="6" t="s">
        <v>125</v>
      </c>
      <c r="K145" s="6" t="str">
        <f>IF(B26="BRL9335-1/AP04/VKB1001 protocol","","ja, zie opm. ↓")</f>
        <v>ja, zie opm. ↓</v>
      </c>
      <c r="O145" s="6" t="s">
        <v>132</v>
      </c>
    </row>
    <row r="146" spans="2:19" x14ac:dyDescent="0.2">
      <c r="C146" s="6" t="s">
        <v>193</v>
      </c>
      <c r="F146" s="6">
        <f>IF(K33="toepasbare VG-bouwtsof",2,0)</f>
        <v>0</v>
      </c>
      <c r="G146" s="6">
        <f>SUM(F145:F147)</f>
        <v>0</v>
      </c>
      <c r="O146" s="6" t="s">
        <v>130</v>
      </c>
    </row>
    <row r="147" spans="2:19" x14ac:dyDescent="0.2">
      <c r="B147" s="6" t="s">
        <v>27</v>
      </c>
      <c r="C147" s="6" t="s">
        <v>192</v>
      </c>
      <c r="F147" s="6">
        <f>IF(K33="toepasbare IBC-bouwstof",3,0)</f>
        <v>0</v>
      </c>
      <c r="O147" s="6" t="s">
        <v>134</v>
      </c>
    </row>
    <row r="148" spans="2:19" x14ac:dyDescent="0.2">
      <c r="B148" s="6" t="str">
        <f>IF(G146&gt;0,"in een werk","35.a in bouw- en wegconstructies (o.m. wegen, spoorwegen, geluidwallen)")</f>
        <v>35.a in bouw- en wegconstructies (o.m. wegen, spoorwegen, geluidwallen)</v>
      </c>
    </row>
    <row r="149" spans="2:19" x14ac:dyDescent="0.2">
      <c r="B149" s="6" t="str">
        <f>IF(G146&gt;0,"","35.b in ophogingen (industrieterreinen, woningbouwlocaties, landbouw- en natuurgronden)")</f>
        <v>35.b in ophogingen (industrieterreinen, woningbouwlocaties, landbouw- en natuurgronden)</v>
      </c>
    </row>
    <row r="150" spans="2:19" x14ac:dyDescent="0.2">
      <c r="B150" s="6" t="str">
        <f>IF(G146&gt;0,"","35.c voor het afdekken (van saneringslocaties, stortplaatsen)")</f>
        <v>35.c voor het afdekken (van saneringslocaties, stortplaatsen)</v>
      </c>
    </row>
    <row r="151" spans="2:19" x14ac:dyDescent="0.2">
      <c r="B151" s="6" t="str">
        <f>IF(G146&gt;0,"","35.d voor ophogen van waterbouwk. constructies en verondiepen en dempen van opp.water")</f>
        <v>35.d voor ophogen van waterbouwk. constructies en verondiepen en dempen van opp.water</v>
      </c>
      <c r="N151" s="53">
        <v>42005</v>
      </c>
      <c r="O151" s="20">
        <f>N151</f>
        <v>42005</v>
      </c>
    </row>
    <row r="152" spans="2:19" x14ac:dyDescent="0.2">
      <c r="B152" s="6" t="str">
        <f>IF(G146&gt;0,"","35.e in aanvulling (o.m. herinrichten en stabiliseren voormalige winplaatsen van delfstoffen)")</f>
        <v>35.e in aanvulling (o.m. herinrichten en stabiliseren voormalige winplaatsen van delfstoffen)</v>
      </c>
      <c r="N152" s="53">
        <v>42005</v>
      </c>
      <c r="O152" s="20">
        <f>N152</f>
        <v>42005</v>
      </c>
    </row>
    <row r="153" spans="2:19" x14ac:dyDescent="0.2">
      <c r="B153" s="6" t="str">
        <f>IF(G146&gt;0,"","35.f verspreiden van baggerspecie over aan de watergang grenzende percelen")</f>
        <v>35.f verspreiden van baggerspecie over aan de watergang grenzende percelen</v>
      </c>
      <c r="O153" s="6">
        <f>IF(D3=O151,1,0)</f>
        <v>1</v>
      </c>
      <c r="P153" s="7"/>
      <c r="S153" s="6" t="s">
        <v>27</v>
      </c>
    </row>
    <row r="154" spans="2:19" x14ac:dyDescent="0.2">
      <c r="B154" s="6" t="str">
        <f>IF(G146&gt;0,"","35.g verspreiden van baggerspecie in opp.water")</f>
        <v>35.g verspreiden van baggerspecie in opp.water</v>
      </c>
      <c r="O154" s="6">
        <f>IF(D4=O152,1,0)</f>
        <v>1</v>
      </c>
    </row>
    <row r="155" spans="2:19" x14ac:dyDescent="0.2">
      <c r="B155" s="6" t="str">
        <f>IF(G146&gt;0,"","35.h tijdelijke opslag (droge bodem max. 3 jaar/in opp.water max. 10 jaar)")</f>
        <v>35.h tijdelijke opslag (droge bodem max. 3 jaar/in opp.water max. 10 jaar)</v>
      </c>
      <c r="S155" s="6" t="str">
        <f>IF(B26="AP04/VKB1002 protocol","","AW2000")</f>
        <v>AW2000</v>
      </c>
    </row>
    <row r="156" spans="2:19" x14ac:dyDescent="0.2">
      <c r="B156" s="6" t="str">
        <f>IF(G146&gt;0,"","35.i tijdelijke opslag baggerspecie op het naast de watergang gelegen perceel (max. 3 jaar)")</f>
        <v>35.i tijdelijke opslag baggerspecie op het naast de watergang gelegen perceel (max. 3 jaar)</v>
      </c>
      <c r="S156" s="6" t="str">
        <f>IF(B26="AP04/VKB1002 protocol","","wonen")</f>
        <v>wonen</v>
      </c>
    </row>
    <row r="157" spans="2:19" x14ac:dyDescent="0.2">
      <c r="S157" s="6" t="str">
        <f>IF(B26="AP04/VKB1002 protocol","","industrie")</f>
        <v>industrie</v>
      </c>
    </row>
    <row r="158" spans="2:19" x14ac:dyDescent="0.2">
      <c r="S158" s="6" t="s">
        <v>220</v>
      </c>
    </row>
    <row r="159" spans="2:19" x14ac:dyDescent="0.2">
      <c r="B159" s="6" t="s">
        <v>27</v>
      </c>
      <c r="D159" s="6" t="s">
        <v>27</v>
      </c>
      <c r="N159" s="53">
        <v>42005</v>
      </c>
      <c r="O159" s="20">
        <f>N159</f>
        <v>42005</v>
      </c>
      <c r="S159" s="6" t="s">
        <v>49</v>
      </c>
    </row>
    <row r="160" spans="2:19" x14ac:dyDescent="0.2">
      <c r="B160" s="6" t="s">
        <v>61</v>
      </c>
      <c r="D160" s="6" t="s">
        <v>219</v>
      </c>
      <c r="N160" s="53">
        <v>42011</v>
      </c>
      <c r="O160" s="20">
        <f>N160</f>
        <v>42011</v>
      </c>
      <c r="S160" s="6" t="str">
        <f>IF(B26="AP04/VKB1002 protocol","toepasbare IBC-bouwstof","")</f>
        <v/>
      </c>
    </row>
    <row r="161" spans="2:17" x14ac:dyDescent="0.2">
      <c r="B161" s="6" t="s">
        <v>62</v>
      </c>
      <c r="D161" s="6" t="s">
        <v>218</v>
      </c>
      <c r="O161" s="6">
        <f>IF(D11=O159,1,0)</f>
        <v>1</v>
      </c>
    </row>
    <row r="162" spans="2:17" x14ac:dyDescent="0.2">
      <c r="O162" s="6">
        <f>IF(D12=O160,1,0)</f>
        <v>1</v>
      </c>
      <c r="P162" s="20"/>
      <c r="Q162" s="6">
        <f>IF(J12=42005,1,0)</f>
        <v>1</v>
      </c>
    </row>
    <row r="164" spans="2:17" x14ac:dyDescent="0.2">
      <c r="B164" s="6" t="s">
        <v>27</v>
      </c>
      <c r="C164" s="6" t="s">
        <v>27</v>
      </c>
      <c r="N164" s="6" t="str">
        <f>Afbeeldingen!A2</f>
        <v>vervolgkeuze ↓</v>
      </c>
    </row>
    <row r="165" spans="2:17" x14ac:dyDescent="0.2">
      <c r="B165" s="6" t="s">
        <v>79</v>
      </c>
      <c r="C165" s="6" t="s">
        <v>206</v>
      </c>
      <c r="E165" s="6" t="s">
        <v>207</v>
      </c>
      <c r="N165" s="6" t="str">
        <f>Afbeeldingen!A3</f>
        <v>Beek</v>
      </c>
      <c r="Q165" s="6">
        <f>IF(J15=42005,1,0)</f>
        <v>1</v>
      </c>
    </row>
    <row r="166" spans="2:17" x14ac:dyDescent="0.2">
      <c r="B166" s="6" t="s">
        <v>80</v>
      </c>
      <c r="C166" s="6" t="s">
        <v>81</v>
      </c>
      <c r="E166" s="6" t="s">
        <v>82</v>
      </c>
      <c r="N166" s="6" t="str">
        <f>Afbeeldingen!A4</f>
        <v>Brunssum</v>
      </c>
    </row>
    <row r="167" spans="2:17" x14ac:dyDescent="0.2">
      <c r="B167" s="6" t="s">
        <v>83</v>
      </c>
      <c r="C167" s="6" t="s">
        <v>208</v>
      </c>
      <c r="E167" s="6" t="s">
        <v>209</v>
      </c>
      <c r="N167" s="6" t="str">
        <f>Afbeeldingen!A5</f>
        <v>Eijsden-Margraten</v>
      </c>
    </row>
    <row r="168" spans="2:17" x14ac:dyDescent="0.2">
      <c r="B168" s="6" t="s">
        <v>84</v>
      </c>
      <c r="C168" s="6" t="s">
        <v>85</v>
      </c>
      <c r="E168" s="6" t="s">
        <v>86</v>
      </c>
      <c r="N168" s="6" t="str">
        <f>Afbeeldingen!A6</f>
        <v>Gulpen-Wittem</v>
      </c>
    </row>
    <row r="169" spans="2:17" x14ac:dyDescent="0.2">
      <c r="B169" s="6" t="s">
        <v>87</v>
      </c>
      <c r="C169" s="6" t="s">
        <v>88</v>
      </c>
      <c r="E169" s="6" t="s">
        <v>89</v>
      </c>
      <c r="N169" s="6" t="str">
        <f>Afbeeldingen!A7</f>
        <v>Heerlen</v>
      </c>
    </row>
    <row r="170" spans="2:17" x14ac:dyDescent="0.2">
      <c r="B170" s="6" t="s">
        <v>90</v>
      </c>
      <c r="C170" s="6" t="s">
        <v>161</v>
      </c>
      <c r="E170" s="6" t="s">
        <v>162</v>
      </c>
      <c r="N170" s="6" t="str">
        <f>Afbeeldingen!A8</f>
        <v>Kerkrade</v>
      </c>
    </row>
    <row r="171" spans="2:17" x14ac:dyDescent="0.2">
      <c r="B171" s="6" t="s">
        <v>91</v>
      </c>
      <c r="C171" s="6" t="s">
        <v>210</v>
      </c>
      <c r="E171" s="6" t="s">
        <v>211</v>
      </c>
      <c r="N171" s="6" t="str">
        <f>Afbeeldingen!A9</f>
        <v>Landgraaf</v>
      </c>
    </row>
    <row r="172" spans="2:17" x14ac:dyDescent="0.2">
      <c r="B172" s="6" t="s">
        <v>94</v>
      </c>
      <c r="C172" s="6" t="s">
        <v>92</v>
      </c>
      <c r="E172" s="6" t="s">
        <v>93</v>
      </c>
      <c r="N172" s="6" t="str">
        <f>Afbeeldingen!A10</f>
        <v>Maastricht</v>
      </c>
    </row>
    <row r="173" spans="2:17" x14ac:dyDescent="0.2">
      <c r="B173" s="6" t="s">
        <v>95</v>
      </c>
      <c r="C173" s="6" t="s">
        <v>212</v>
      </c>
      <c r="E173" s="6" t="s">
        <v>213</v>
      </c>
      <c r="N173" s="6" t="str">
        <f>Afbeeldingen!A11</f>
        <v>Meerssen</v>
      </c>
    </row>
    <row r="174" spans="2:17" x14ac:dyDescent="0.2">
      <c r="B174" s="6" t="s">
        <v>96</v>
      </c>
      <c r="C174" s="29" t="s">
        <v>214</v>
      </c>
      <c r="D174" s="29"/>
      <c r="E174" s="29" t="s">
        <v>215</v>
      </c>
      <c r="N174" s="6" t="str">
        <f>Afbeeldingen!A12</f>
        <v>Nuth</v>
      </c>
    </row>
    <row r="175" spans="2:17" x14ac:dyDescent="0.2">
      <c r="B175" s="6" t="s">
        <v>97</v>
      </c>
      <c r="C175" s="29" t="s">
        <v>19</v>
      </c>
      <c r="D175" s="29"/>
      <c r="E175" s="29"/>
      <c r="N175" s="6" t="str">
        <f>Afbeeldingen!A13</f>
        <v>Onderbanken</v>
      </c>
    </row>
    <row r="176" spans="2:17" x14ac:dyDescent="0.2">
      <c r="B176" s="6" t="s">
        <v>98</v>
      </c>
      <c r="C176" s="6" t="s">
        <v>27</v>
      </c>
      <c r="D176" s="29"/>
      <c r="E176" s="29"/>
      <c r="N176" s="6" t="str">
        <f>Afbeeldingen!A14</f>
        <v>Schinnen</v>
      </c>
    </row>
    <row r="177" spans="2:14" x14ac:dyDescent="0.2">
      <c r="B177" s="6" t="s">
        <v>99</v>
      </c>
      <c r="C177" s="6" t="s">
        <v>21</v>
      </c>
      <c r="D177" s="29"/>
      <c r="E177" s="29"/>
      <c r="N177" s="6" t="str">
        <f>Afbeeldingen!A15</f>
        <v>Simpelveld</v>
      </c>
    </row>
    <row r="178" spans="2:14" x14ac:dyDescent="0.2">
      <c r="B178" s="6" t="s">
        <v>100</v>
      </c>
      <c r="C178" s="29" t="s">
        <v>184</v>
      </c>
      <c r="D178" s="29"/>
      <c r="E178" s="29"/>
      <c r="N178" s="6" t="str">
        <f>Afbeeldingen!A16</f>
        <v>Sittard-Geleen</v>
      </c>
    </row>
    <row r="179" spans="2:14" x14ac:dyDescent="0.2">
      <c r="B179" s="6" t="s">
        <v>101</v>
      </c>
      <c r="C179" s="29" t="s">
        <v>185</v>
      </c>
      <c r="D179" s="29"/>
      <c r="E179" s="29"/>
      <c r="N179" s="6" t="str">
        <f>Afbeeldingen!A17</f>
        <v>Stein</v>
      </c>
    </row>
    <row r="180" spans="2:14" x14ac:dyDescent="0.2">
      <c r="B180" s="6" t="s">
        <v>102</v>
      </c>
      <c r="C180" s="29" t="s">
        <v>186</v>
      </c>
      <c r="D180" s="29"/>
      <c r="E180" s="29"/>
      <c r="N180" s="6" t="str">
        <f>Afbeeldingen!A18</f>
        <v>Vaals</v>
      </c>
    </row>
    <row r="181" spans="2:14" x14ac:dyDescent="0.2">
      <c r="B181" s="6" t="s">
        <v>103</v>
      </c>
      <c r="C181" s="6" t="s">
        <v>188</v>
      </c>
      <c r="D181" s="29"/>
      <c r="E181" s="29"/>
      <c r="N181" s="6" t="str">
        <f>Afbeeldingen!A19</f>
        <v>Valkenburg a/d Geul</v>
      </c>
    </row>
    <row r="182" spans="2:14" x14ac:dyDescent="0.2">
      <c r="B182" s="6" t="s">
        <v>104</v>
      </c>
      <c r="C182" s="29" t="s">
        <v>187</v>
      </c>
      <c r="D182" s="29"/>
      <c r="E182" s="29"/>
      <c r="N182" s="6" t="str">
        <f>Afbeeldingen!A20</f>
        <v>Voerendaal</v>
      </c>
    </row>
    <row r="183" spans="2:14" x14ac:dyDescent="0.2">
      <c r="B183" s="6" t="s">
        <v>105</v>
      </c>
      <c r="C183" s="29"/>
      <c r="D183" s="29"/>
      <c r="E183" s="29"/>
      <c r="N183" s="6" t="str">
        <f>Afbeeldingen!A21</f>
        <v>IMD-BNS</v>
      </c>
    </row>
    <row r="184" spans="2:14" x14ac:dyDescent="0.2">
      <c r="B184" s="29" t="s">
        <v>106</v>
      </c>
      <c r="C184" s="29"/>
      <c r="D184" s="29"/>
      <c r="E184" s="29"/>
      <c r="N184" s="6" t="str">
        <f>Afbeeldingen!A22</f>
        <v>Provincie Limburg</v>
      </c>
    </row>
    <row r="185" spans="2:14" x14ac:dyDescent="0.2">
      <c r="B185" s="29" t="s">
        <v>19</v>
      </c>
      <c r="C185" s="29"/>
      <c r="D185" s="29"/>
      <c r="E185" s="29"/>
      <c r="N185" s="6" t="str">
        <f>Afbeeldingen!A23</f>
        <v>Mook en Middelaar</v>
      </c>
    </row>
    <row r="186" spans="2:14" x14ac:dyDescent="0.2">
      <c r="N186" s="6" t="str">
        <f>Afbeeldingen!A24</f>
        <v>Gennep</v>
      </c>
    </row>
    <row r="187" spans="2:14" x14ac:dyDescent="0.2">
      <c r="N187" s="6" t="str">
        <f>Afbeeldingen!A25</f>
        <v>Bergen</v>
      </c>
    </row>
    <row r="188" spans="2:14" x14ac:dyDescent="0.2">
      <c r="N188" s="6" t="str">
        <f>Afbeeldingen!A26</f>
        <v>Venray</v>
      </c>
    </row>
    <row r="189" spans="2:14" x14ac:dyDescent="0.2">
      <c r="B189" s="6" t="s">
        <v>27</v>
      </c>
      <c r="H189" s="6" t="s">
        <v>27</v>
      </c>
      <c r="N189" s="6" t="str">
        <f>Afbeeldingen!A27</f>
        <v>Horst aan de Maas</v>
      </c>
    </row>
    <row r="190" spans="2:14" x14ac:dyDescent="0.2">
      <c r="B190" s="6" t="s">
        <v>136</v>
      </c>
      <c r="H190" s="6" t="s">
        <v>138</v>
      </c>
      <c r="N190" s="6" t="str">
        <f>Afbeeldingen!A28</f>
        <v>Venlo</v>
      </c>
    </row>
    <row r="191" spans="2:14" x14ac:dyDescent="0.2">
      <c r="B191" s="6" t="s">
        <v>137</v>
      </c>
      <c r="H191" s="6" t="s">
        <v>139</v>
      </c>
      <c r="N191" s="6" t="str">
        <f>Afbeeldingen!A29</f>
        <v>Peel en Maas</v>
      </c>
    </row>
    <row r="192" spans="2:14" x14ac:dyDescent="0.2">
      <c r="N192" s="6" t="str">
        <f>Afbeeldingen!A30</f>
        <v>Nederweert</v>
      </c>
    </row>
    <row r="193" spans="2:14" x14ac:dyDescent="0.2">
      <c r="N193" s="6" t="str">
        <f>Afbeeldingen!A31</f>
        <v>Beesel</v>
      </c>
    </row>
    <row r="194" spans="2:14" x14ac:dyDescent="0.2">
      <c r="N194" s="6" t="str">
        <f>Afbeeldingen!A32</f>
        <v>Leudal</v>
      </c>
    </row>
    <row r="195" spans="2:14" x14ac:dyDescent="0.2">
      <c r="N195" s="6" t="str">
        <f>Afbeeldingen!A33</f>
        <v>Weert</v>
      </c>
    </row>
    <row r="196" spans="2:14" x14ac:dyDescent="0.2">
      <c r="N196" s="6" t="str">
        <f>Afbeeldingen!A34</f>
        <v>Roermond</v>
      </c>
    </row>
    <row r="197" spans="2:14" x14ac:dyDescent="0.2">
      <c r="N197" s="6" t="str">
        <f>Afbeeldingen!A35</f>
        <v>Maasgouw</v>
      </c>
    </row>
    <row r="198" spans="2:14" x14ac:dyDescent="0.2">
      <c r="B198" s="6" t="s">
        <v>55</v>
      </c>
      <c r="N198" s="6" t="str">
        <f>Afbeeldingen!A36</f>
        <v>Roerdalen</v>
      </c>
    </row>
    <row r="199" spans="2:14" x14ac:dyDescent="0.2">
      <c r="N199" s="6" t="str">
        <f>Afbeeldingen!A37</f>
        <v>Echt-Susteren</v>
      </c>
    </row>
    <row r="200" spans="2:14" x14ac:dyDescent="0.2">
      <c r="N200" s="6" t="str">
        <f>Afbeeldingen!A38</f>
        <v>Servicecentrum MER</v>
      </c>
    </row>
    <row r="201" spans="2:14" x14ac:dyDescent="0.2">
      <c r="N201" s="6" t="str">
        <f>Afbeeldingen!A39</f>
        <v>volgt</v>
      </c>
    </row>
  </sheetData>
  <mergeCells count="66">
    <mergeCell ref="A59:B59"/>
    <mergeCell ref="C57:E57"/>
    <mergeCell ref="E2:F2"/>
    <mergeCell ref="A61:K63"/>
    <mergeCell ref="D9:F10"/>
    <mergeCell ref="D13:F14"/>
    <mergeCell ref="J9:K10"/>
    <mergeCell ref="J14:K14"/>
    <mergeCell ref="D35:F35"/>
    <mergeCell ref="D31:F31"/>
    <mergeCell ref="I29:K29"/>
    <mergeCell ref="D36:E36"/>
    <mergeCell ref="J50:K52"/>
    <mergeCell ref="J53:K55"/>
    <mergeCell ref="C58:F58"/>
    <mergeCell ref="E3:F3"/>
    <mergeCell ref="J26:K26"/>
    <mergeCell ref="D15:F16"/>
    <mergeCell ref="J16:K16"/>
    <mergeCell ref="J11:K11"/>
    <mergeCell ref="J12:K12"/>
    <mergeCell ref="J13:K13"/>
    <mergeCell ref="J15:K15"/>
    <mergeCell ref="D17:E17"/>
    <mergeCell ref="D18:E18"/>
    <mergeCell ref="D24:E24"/>
    <mergeCell ref="J17:K17"/>
    <mergeCell ref="B26:D26"/>
    <mergeCell ref="D41:F41"/>
    <mergeCell ref="B45:K45"/>
    <mergeCell ref="B46:K46"/>
    <mergeCell ref="E42:K42"/>
    <mergeCell ref="D4:F4"/>
    <mergeCell ref="D5:F6"/>
    <mergeCell ref="D11:F11"/>
    <mergeCell ref="D22:E22"/>
    <mergeCell ref="D23:E23"/>
    <mergeCell ref="D20:F21"/>
    <mergeCell ref="I20:K23"/>
    <mergeCell ref="G39:K41"/>
    <mergeCell ref="D40:F40"/>
    <mergeCell ref="D12:F12"/>
    <mergeCell ref="D8:F8"/>
    <mergeCell ref="D7:F7"/>
    <mergeCell ref="D48:K48"/>
    <mergeCell ref="D49:K49"/>
    <mergeCell ref="E56:H56"/>
    <mergeCell ref="G53:I53"/>
    <mergeCell ref="G54:I54"/>
    <mergeCell ref="G55:I55"/>
    <mergeCell ref="C59:E59"/>
    <mergeCell ref="G57:K59"/>
    <mergeCell ref="J1:K1"/>
    <mergeCell ref="E38:F38"/>
    <mergeCell ref="D39:F39"/>
    <mergeCell ref="I30:K30"/>
    <mergeCell ref="D27:F27"/>
    <mergeCell ref="D33:F33"/>
    <mergeCell ref="D34:F34"/>
    <mergeCell ref="D32:F32"/>
    <mergeCell ref="I31:K31"/>
    <mergeCell ref="I27:K27"/>
    <mergeCell ref="H34:K34"/>
    <mergeCell ref="H37:K37"/>
    <mergeCell ref="I24:K24"/>
    <mergeCell ref="D19:E19"/>
  </mergeCells>
  <conditionalFormatting sqref="C12">
    <cfRule type="expression" dxfId="27" priority="128">
      <formula>E127=2</formula>
    </cfRule>
    <cfRule type="expression" dxfId="26" priority="129">
      <formula>E127=1</formula>
    </cfRule>
    <cfRule type="expression" dxfId="25" priority="130">
      <formula>E127=0</formula>
    </cfRule>
  </conditionalFormatting>
  <conditionalFormatting sqref="K36">
    <cfRule type="expression" dxfId="24" priority="127">
      <formula>H128=1</formula>
    </cfRule>
  </conditionalFormatting>
  <conditionalFormatting sqref="C58:E58">
    <cfRule type="expression" dxfId="23" priority="93">
      <formula>C58="vervolgkeuze ↓"</formula>
    </cfRule>
    <cfRule type="expression" dxfId="22" priority="124">
      <formula>H127=0</formula>
    </cfRule>
    <cfRule type="expression" dxfId="21" priority="125">
      <formula>H127=1</formula>
    </cfRule>
  </conditionalFormatting>
  <conditionalFormatting sqref="H29:J29">
    <cfRule type="expression" dxfId="20" priority="122">
      <formula>J28=0</formula>
    </cfRule>
  </conditionalFormatting>
  <conditionalFormatting sqref="K43">
    <cfRule type="expression" dxfId="19" priority="121">
      <formula>J127=TRUE</formula>
    </cfRule>
  </conditionalFormatting>
  <conditionalFormatting sqref="J50:K52">
    <cfRule type="expression" dxfId="18" priority="119">
      <formula>J128=TRUE</formula>
    </cfRule>
  </conditionalFormatting>
  <conditionalFormatting sqref="J53:K55">
    <cfRule type="expression" dxfId="17" priority="118">
      <formula>K128=TRUE</formula>
    </cfRule>
  </conditionalFormatting>
  <conditionalFormatting sqref="F59">
    <cfRule type="expression" dxfId="16" priority="117">
      <formula>OR(H129=1,H129=0)</formula>
    </cfRule>
  </conditionalFormatting>
  <conditionalFormatting sqref="D48:K49 G53:G55 E56 E42:K42 J16:J17 E3:F3 I29:K30 D32:F32 D33:D34 K33 H34:K34 K35 H37:K37 D40:D41 B45:K46 D8:F8 D7">
    <cfRule type="expression" dxfId="15" priority="116">
      <formula>B3="vervolgkeuze ↓"</formula>
    </cfRule>
  </conditionalFormatting>
  <conditionalFormatting sqref="D5 D27:F27 D9:F10 D17:E18 D20:F21 D22:E23 D13:F16 J9:K11 J13:K14 I24 D31:F31 D35:F35 D36:E36 D39:F39 J26:K26 I27:K27 J28 I31:K31 G39:K41 A61:K63 D2:E2 I20">
    <cfRule type="expression" dxfId="14" priority="88">
      <formula>A2=""</formula>
    </cfRule>
  </conditionalFormatting>
  <conditionalFormatting sqref="K12 K15">
    <cfRule type="expression" dxfId="13" priority="56">
      <formula>Q12=1</formula>
    </cfRule>
  </conditionalFormatting>
  <conditionalFormatting sqref="J12 J15">
    <cfRule type="expression" dxfId="12" priority="224">
      <formula>Q162=1</formula>
    </cfRule>
  </conditionalFormatting>
  <conditionalFormatting sqref="G13:K17 A27:F35 G25:K31 G34:K37 A37:F41">
    <cfRule type="expression" dxfId="11" priority="25">
      <formula>$B$26="valt onder Bbp en BKK"</formula>
    </cfRule>
  </conditionalFormatting>
  <conditionalFormatting sqref="G13:K15 G17:K18 A32:F35 A39:F41 G25:K31 G34:K37">
    <cfRule type="expression" dxfId="10" priority="15">
      <formula>$B$26="valt onder productcertificaat"</formula>
    </cfRule>
  </conditionalFormatting>
  <conditionalFormatting sqref="D35:F35">
    <cfRule type="expression" dxfId="9" priority="13">
      <formula>D35="vervolgkeuze ↓"</formula>
    </cfRule>
  </conditionalFormatting>
  <conditionalFormatting sqref="B26:D26">
    <cfRule type="expression" dxfId="8" priority="12">
      <formula>B26="vervolgkeuze ↓"</formula>
    </cfRule>
  </conditionalFormatting>
  <conditionalFormatting sqref="F17">
    <cfRule type="expression" dxfId="7" priority="9">
      <formula>(AND(B26="BRL9335-1/AP04/VKB1001 protocol",D17&gt;2000))</formula>
    </cfRule>
  </conditionalFormatting>
  <conditionalFormatting sqref="D3">
    <cfRule type="expression" dxfId="6" priority="6">
      <formula>O153=1</formula>
    </cfRule>
  </conditionalFormatting>
  <conditionalFormatting sqref="D4:F4">
    <cfRule type="expression" dxfId="5" priority="5">
      <formula>O154=1</formula>
    </cfRule>
  </conditionalFormatting>
  <conditionalFormatting sqref="D11:F11">
    <cfRule type="expression" dxfId="4" priority="4">
      <formula>O161=1</formula>
    </cfRule>
  </conditionalFormatting>
  <conditionalFormatting sqref="D12:F12">
    <cfRule type="expression" dxfId="3" priority="3">
      <formula>O162=1</formula>
    </cfRule>
  </conditionalFormatting>
  <conditionalFormatting sqref="F22">
    <cfRule type="expression" dxfId="2" priority="2">
      <formula>D22&gt;D17</formula>
    </cfRule>
  </conditionalFormatting>
  <conditionalFormatting sqref="K28">
    <cfRule type="expression" dxfId="1" priority="1">
      <formula>J28&gt;20</formula>
    </cfRule>
  </conditionalFormatting>
  <conditionalFormatting sqref="G57">
    <cfRule type="expression" dxfId="0" priority="225">
      <formula>OR(H127=1,H127=0)</formula>
    </cfRule>
  </conditionalFormatting>
  <dataValidations count="30">
    <dataValidation type="date" operator="equal" allowBlank="1" showInputMessage="1" showErrorMessage="1" prompt="datum" sqref="C12">
      <formula1>M8</formula1>
    </dataValidation>
    <dataValidation type="date" operator="equal" allowBlank="1" showInputMessage="1" showErrorMessage="1" prompt="datum" sqref="C11">
      <formula1>L7</formula1>
    </dataValidation>
    <dataValidation type="date" errorStyle="warning" operator="greaterThan" allowBlank="1" showInputMessage="1" showErrorMessage="1" prompt="datum" sqref="D3">
      <formula1>B127</formula1>
    </dataValidation>
    <dataValidation type="list" errorStyle="warning" allowBlank="1" showInputMessage="1" showErrorMessage="1" error="Ja, ongeldige gegevens invoeren. Nee, cel verder bewerken. Annuleren, vorige waarde herstellen." prompt="Vervolgkeuze geeft een lijst van mogelijke keuzes waaruit gekozen kan worden. In sommige gevallen is invoer van eigen gegevens toch mogelijk." sqref="C58:F58">
      <formula1>$D$159:$D$162</formula1>
    </dataValidation>
    <dataValidation type="list" errorStyle="warning" allowBlank="1" showInputMessage="1" showErrorMessage="1" error="Ja, ongeldige gegevens invoeren. Nee, cel verder bewerken. Annuleren, vorige waarde herstellen." prompt="Vervolgkeuze geeft een lijst van mogelijke keuzes waaruit gekozen kan worden. In sommige gevallen is invoer van eigen gegevens toch mogelijk." sqref="G55:I55 J17">
      <formula1>$F$129:$F$132</formula1>
    </dataValidation>
    <dataValidation type="date" operator="equal" allowBlank="1" showInputMessage="1" showErrorMessage="1" prompt="datum" sqref="J56 C3:C4">
      <formula1>#REF!</formula1>
    </dataValidation>
    <dataValidation type="list" errorStyle="warning" allowBlank="1" showInputMessage="1" showErrorMessage="1" error="Ja, ongeldige gegevens invoeren. Nee, cel verder bewerken. Annuleren, vorige waarde herstellen." prompt="Vervolgkeuze geeft een lijst van mogelijke keuzes waaruit gekozen kan worden. In sommige gevallen is invoer van eigen gegevens toch mogelijk." sqref="D48:K48">
      <formula1>$B$147:$B$157</formula1>
    </dataValidation>
    <dataValidation type="list" errorStyle="warning" allowBlank="1" showInputMessage="1" showErrorMessage="1" error="Ja, ongeldige gegevens invoeren. Nee, cel verder bewerken. Annuleren, vorige waarde herstellen." prompt="Vervolgkeuze geeft een lijst van mogelijke keuzes waaruit gekozen kan worden. In sommige gevallen is invoer van eigen gegevens toch mogelijk." sqref="D49:K49">
      <formula1>$B$159:$B$162</formula1>
    </dataValidation>
    <dataValidation type="list" errorStyle="warning" allowBlank="1" showInputMessage="1" showErrorMessage="1" error="Ja, ongeldige gegevens invoeren. Nee, cel verder bewerken. Annuleren, vorige waarde herstellen." prompt="Vervolgkeuze geeft een lijst van mogelijke keuzes waaruit gekozen kan worden. In sommige gevallen is invoer van eigen gegevens toch mogelijk." sqref="G53:I54">
      <formula1>$B$139:$B$143</formula1>
    </dataValidation>
    <dataValidation type="date" errorStyle="warning" operator="greaterThan" allowBlank="1" showInputMessage="1" showErrorMessage="1" prompt="datum" sqref="K43 J15 D11:F12 D4:F4 J12:K12">
      <formula1>39448</formula1>
    </dataValidation>
    <dataValidation type="list" errorStyle="warning" allowBlank="1" showInputMessage="1" showErrorMessage="1" error="Ja, ongeldige gegevens invoeren. Nee, cel verder bewerken. Annuleren, vorige waarde herstellen." prompt="Vervolgkeuze geeft een lijst van mogelijke keuzes waaruit gekozen kan worden. In sommige gevallen is invoer van eigen gegevens toch mogelijk." sqref="E42:K42">
      <formula1>$O$130:$O$135</formula1>
    </dataValidation>
    <dataValidation type="list" errorStyle="warning" allowBlank="1" showInputMessage="1" showErrorMessage="1" error="Ja, ongeldige gegevens invoeren. Nee, cel verder bewerken. Annuleren, vorige waarde herstellen." promptTitle="Erkenning monsternemer" prompt="Vervolgkeuze geeft een lijst van mogelijke keuzes waaruit gekozen kan worden. In sommige gevallen is invoer van eigen gegevens toch mogelijk." sqref="J16">
      <formula1>$F$129:$F$132</formula1>
    </dataValidation>
    <dataValidation type="list" errorStyle="warning" allowBlank="1" showInputMessage="1" showErrorMessage="1" error="Ja, ongeldige gegevens invoeren. Nee, cel verder bewerken. Annuleren, vorige waarde herstellen." prompt="Vervolgkeuze geeft een lijst van mogelijke keuzes waaruit gekozen kan worden. In sommige gevallen is invoer van eigen gegevens toch mogelijk." sqref="K35">
      <formula1>$C$139:$C$147</formula1>
    </dataValidation>
    <dataValidation type="list" errorStyle="warning" allowBlank="1" showInputMessage="1" showErrorMessage="1" error="Ja, ongeldige gegevens invoeren_x000a_Nee, cel verder bewerken_x000a_Annuleren, vorige waarde herstellen" promptTitle="ontvangstwijze" prompt="Vervolgkeuze geeft een lijst van mogelijke keuzes waaruit gekozen kan worden._x000a_In sommige gevallen is invoer van eigen gegevens toch mogelijk." sqref="E3:F3">
      <formula1>$M$130:$M$134</formula1>
    </dataValidation>
    <dataValidation type="list" errorStyle="warning" allowBlank="1" showInputMessage="1" showErrorMessage="1" error="Ja, ongeldige gegevens invoeren. Nee, cel verder bewerken. Annuleren, vorige waarde herstellen." prompt="Vervolgkeuze geeft een lijst van mogelijke keuzes waaruit gekozen kan worden. In sommige gevallen is invoer van eigen gegevens toch mogelijk." sqref="I29:K29">
      <formula1>$H$129:$H$139</formula1>
    </dataValidation>
    <dataValidation type="list" errorStyle="warning" allowBlank="1" showInputMessage="1" showErrorMessage="1" error="Ja, ongeldige gegevens invoeren. Nee, cel verder bewerken. Annuleren, vorige waarde herstellen." prompt="Vervolgkeuze geeft een lijst van mogelijke keuzes waaruit gekozen kan worden. In sommige gevallen is invoer van eigen gegevens toch mogelijk." sqref="I30:K30">
      <formula1>$I$129:$I$133</formula1>
    </dataValidation>
    <dataValidation type="list" errorStyle="warning" allowBlank="1" showInputMessage="1" showErrorMessage="1" error="Ja, ongeldige gegevens invoeren. Nee, cel verder bewerken. Annuleren, vorige waarde herstellen." prompt="Vervolgkeuze geeft een lijst van mogelijke keuzes waaruit gekozen kan worden. In sommige gevallen is invoer van eigen gegevens toch mogelijk." sqref="D33:F33">
      <formula1>$B$129:$B$133</formula1>
    </dataValidation>
    <dataValidation type="list" errorStyle="warning" allowBlank="1" showInputMessage="1" showErrorMessage="1" error="Ja, ongeldige gegevens invoeren. Nee, cel verder bewerken. Annuleren, vorige waarde herstellen." prompt="Vervolgkeuze geeft een lijst van mogelijke keuzes waaruit gekozen kan worden. In sommige gevallen is invoer van eigen gegevens toch mogelijk." sqref="D34:F34">
      <formula1>$C$129:$C$132</formula1>
    </dataValidation>
    <dataValidation type="list" errorStyle="warning" allowBlank="1" showInputMessage="1" showErrorMessage="1" prompt="Vervolgkeuze geeft een lijst van mogelijke keuzes waaruit gekozen kan worden. In sommige gevallen is invoer van eigen gegevens toch mogelijk." sqref="K33">
      <formula1>$C$139:$C$147</formula1>
    </dataValidation>
    <dataValidation type="list" errorStyle="warning" allowBlank="1" showInputMessage="1" showErrorMessage="1" error="Ja, ongeldige gegevens invoeren. Nee, cel verder bewerken. Annuleren, vorige waarde herstellen." prompt="Vervolgkeuze geeft een lijst van mogelijke keuzes waaruit gekozen kan worden. In sommige gevallen is invoer van eigen gegevens toch mogelijk." sqref="H37:K37 H34:K34">
      <formula1>$D$139:$D$143</formula1>
    </dataValidation>
    <dataValidation type="list" errorStyle="warning" allowBlank="1" showInputMessage="1" showErrorMessage="1" sqref="D8:F8">
      <formula1>$C$164:$C$175</formula1>
    </dataValidation>
    <dataValidation type="list" errorStyle="warning" allowBlank="1" showInputMessage="1" showErrorMessage="1" sqref="B45:K45">
      <formula1>$B$189:$B$192</formula1>
    </dataValidation>
    <dataValidation type="list" errorStyle="warning" allowBlank="1" showInputMessage="1" showErrorMessage="1" sqref="B46:K46">
      <formula1>$H$189:$H$192</formula1>
    </dataValidation>
    <dataValidation type="list" allowBlank="1" showInputMessage="1" showErrorMessage="1" sqref="D7:F7">
      <formula1>$N$164:$N$201</formula1>
    </dataValidation>
    <dataValidation type="list" errorStyle="warning" allowBlank="1" showInputMessage="1" showErrorMessage="1" error="eigen invoer mogelijk" prompt="vervolgkeuze soort onderzoek" sqref="B26:D26">
      <formula1>$C$176:$C$183</formula1>
    </dataValidation>
    <dataValidation type="list" errorStyle="warning" allowBlank="1" showInputMessage="1" showErrorMessage="1" error="Ja, ongeldige gegevens invoeren. Nee, cel verder bewerken. Annuleren, vorige waarde herstellen." prompt="Vervolgkeuze geeft een lijst van mogelijke keuzes waaruit gekozen kan worden. In sommige gevallen is invoer van eigen gegevens toch mogelijk." sqref="E56:G56">
      <formula1>$S$153:$S$161</formula1>
    </dataValidation>
    <dataValidation type="list" errorStyle="warning" allowBlank="1" showInputMessage="1" showErrorMessage="1" error="eigen invoer mogelijk" sqref="D35:F35">
      <formula1>$M$139:$M$145</formula1>
    </dataValidation>
    <dataValidation type="list" errorStyle="warning" allowBlank="1" showInputMessage="1" showErrorMessage="1" error="Ja, ongeldige gegevens invoeren. Nee, cel verder bewerken. Annuleren, vorige waarde herstellen." prompt="Vervolgkeuze geeft een lijst van mogelijke keuzes waaruit gekozen kan worden. In sommige gevallen is invoer van eigen gegevens toch mogelijk." sqref="D40:F40">
      <formula1>$D$129:$D$138</formula1>
    </dataValidation>
    <dataValidation type="list" errorStyle="warning" allowBlank="1" showInputMessage="1" showErrorMessage="1" error="Ja, ongeldige gegevens invoeren. Nee, cel verder bewerken. Annuleren, vorige waarde herstellen." prompt="Vervolgkeuze geeft een lijst van mogelijke keuzes waaruit gekozen kan worden. In sommige gevallen is invoer van eigen gegevens toch mogelijk." sqref="D41:F41">
      <formula1>$I$139:$I$146</formula1>
    </dataValidation>
    <dataValidation type="list" errorStyle="warning" allowBlank="1" showInputMessage="1" showErrorMessage="1" error="Ja, ongeldige gegevens invoeren. Nee, cel verder bewerken. Annuleren, vorige waarde herstellen." prompt="Vervolgkeuze geeft een lijst van mogelijke keuzes waaruit gekozen kan worden. In sommige gevallen is invoer van eigen gegevens toch mogelijk." sqref="D32:F32">
      <formula1>$K$139:$K$145</formula1>
    </dataValidation>
  </dataValidations>
  <pageMargins left="0.59055118110236227" right="0.23622047244094491" top="0.39370078740157483" bottom="0.47244094488188981" header="0.31496062992125984" footer="3.937007874015748E-2"/>
  <pageSetup paperSize="9" orientation="portrait" r:id="rId1"/>
  <headerFooter>
    <oddFooter>&amp;L&amp;8&amp;F&amp;R&amp;8Uw gebruiksnaam is: Sittard-Geleen / RUDZuidLimburg
Uw wachtwoord is: **********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19" r:id="rId4" name="Check Box 295">
              <controlPr defaultSize="0" autoFill="0" autoLine="0" autoPict="0">
                <anchor moveWithCells="1">
                  <from>
                    <xdr:col>0</xdr:col>
                    <xdr:colOff>28575</xdr:colOff>
                    <xdr:row>26</xdr:row>
                    <xdr:rowOff>142875</xdr:rowOff>
                  </from>
                  <to>
                    <xdr:col>1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5" name="Check Box 299">
              <controlPr defaultSize="0" autoFill="0" autoLine="0" autoPict="0">
                <anchor moveWithCells="1">
                  <from>
                    <xdr:col>0</xdr:col>
                    <xdr:colOff>28575</xdr:colOff>
                    <xdr:row>27</xdr:row>
                    <xdr:rowOff>142875</xdr:rowOff>
                  </from>
                  <to>
                    <xdr:col>1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6" name="Check Box 301">
              <controlPr defaultSize="0" autoFill="0" autoLine="0" autoPict="0">
                <anchor moveWithCells="1">
                  <from>
                    <xdr:col>0</xdr:col>
                    <xdr:colOff>28575</xdr:colOff>
                    <xdr:row>28</xdr:row>
                    <xdr:rowOff>142875</xdr:rowOff>
                  </from>
                  <to>
                    <xdr:col>1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7" name="Check Box 302">
              <controlPr defaultSize="0" autoFill="0" autoLine="0" autoPict="0">
                <anchor moveWithCells="1">
                  <from>
                    <xdr:col>0</xdr:col>
                    <xdr:colOff>28575</xdr:colOff>
                    <xdr:row>29</xdr:row>
                    <xdr:rowOff>142875</xdr:rowOff>
                  </from>
                  <to>
                    <xdr:col>1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8" name="Check Box 303">
              <controlPr defaultSize="0" autoFill="0" autoLine="0" autoPict="0">
                <anchor moveWithCells="1">
                  <from>
                    <xdr:col>0</xdr:col>
                    <xdr:colOff>28575</xdr:colOff>
                    <xdr:row>30</xdr:row>
                    <xdr:rowOff>142875</xdr:rowOff>
                  </from>
                  <to>
                    <xdr:col>1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9" name="Check Box 304">
              <controlPr defaultSize="0" autoFill="0" autoLine="0" autoPict="0">
                <anchor moveWithCells="1">
                  <from>
                    <xdr:col>0</xdr:col>
                    <xdr:colOff>28575</xdr:colOff>
                    <xdr:row>31</xdr:row>
                    <xdr:rowOff>142875</xdr:rowOff>
                  </from>
                  <to>
                    <xdr:col>1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10" name="Check Box 305">
              <controlPr defaultSize="0" autoFill="0" autoLine="0" autoPict="0">
                <anchor moveWithCells="1">
                  <from>
                    <xdr:col>0</xdr:col>
                    <xdr:colOff>28575</xdr:colOff>
                    <xdr:row>32</xdr:row>
                    <xdr:rowOff>142875</xdr:rowOff>
                  </from>
                  <to>
                    <xdr:col>1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11" name="Check Box 307">
              <controlPr defaultSize="0" autoFill="0" autoLine="0" autoPict="0">
                <anchor moveWithCells="1">
                  <from>
                    <xdr:col>0</xdr:col>
                    <xdr:colOff>28575</xdr:colOff>
                    <xdr:row>33</xdr:row>
                    <xdr:rowOff>142875</xdr:rowOff>
                  </from>
                  <to>
                    <xdr:col>1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12" name="Check Box 308">
              <controlPr defaultSize="0" autoFill="0" autoLine="0" autoPict="0">
                <anchor moveWithCells="1">
                  <from>
                    <xdr:col>0</xdr:col>
                    <xdr:colOff>28575</xdr:colOff>
                    <xdr:row>34</xdr:row>
                    <xdr:rowOff>142875</xdr:rowOff>
                  </from>
                  <to>
                    <xdr:col>1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13" name="Check Box 312">
              <controlPr defaultSize="0" autoFill="0" autoLine="0" autoPict="0">
                <anchor moveWithCells="1">
                  <from>
                    <xdr:col>0</xdr:col>
                    <xdr:colOff>28575</xdr:colOff>
                    <xdr:row>35</xdr:row>
                    <xdr:rowOff>142875</xdr:rowOff>
                  </from>
                  <to>
                    <xdr:col>1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14" name="Check Box 313">
              <controlPr defaultSize="0" autoFill="0" autoLine="0" autoPict="0">
                <anchor moveWithCells="1">
                  <from>
                    <xdr:col>0</xdr:col>
                    <xdr:colOff>28575</xdr:colOff>
                    <xdr:row>36</xdr:row>
                    <xdr:rowOff>142875</xdr:rowOff>
                  </from>
                  <to>
                    <xdr:col>1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15" name="Check Box 315">
              <controlPr defaultSize="0" autoFill="0" autoLine="0" autoPict="0">
                <anchor moveWithCells="1">
                  <from>
                    <xdr:col>0</xdr:col>
                    <xdr:colOff>28575</xdr:colOff>
                    <xdr:row>38</xdr:row>
                    <xdr:rowOff>142875</xdr:rowOff>
                  </from>
                  <to>
                    <xdr:col>1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16" name="Check Box 316">
              <controlPr defaultSize="0" autoFill="0" autoLine="0" autoPict="0">
                <anchor moveWithCells="1">
                  <from>
                    <xdr:col>0</xdr:col>
                    <xdr:colOff>28575</xdr:colOff>
                    <xdr:row>39</xdr:row>
                    <xdr:rowOff>142875</xdr:rowOff>
                  </from>
                  <to>
                    <xdr:col>1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17" name="Check Box 317">
              <controlPr defaultSize="0" autoFill="0" autoLine="0" autoPict="0">
                <anchor moveWithCells="1">
                  <from>
                    <xdr:col>2</xdr:col>
                    <xdr:colOff>28575</xdr:colOff>
                    <xdr:row>36</xdr:row>
                    <xdr:rowOff>142875</xdr:rowOff>
                  </from>
                  <to>
                    <xdr:col>3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18" name="Check Box 319">
              <controlPr defaultSize="0" autoFill="0" autoLine="0" autoPict="0">
                <anchor moveWithCells="1">
                  <from>
                    <xdr:col>0</xdr:col>
                    <xdr:colOff>28575</xdr:colOff>
                    <xdr:row>43</xdr:row>
                    <xdr:rowOff>142875</xdr:rowOff>
                  </from>
                  <to>
                    <xdr:col>1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19" name="Check Box 322">
              <controlPr defaultSize="0" autoFill="0" autoLine="0" autoPict="0">
                <anchor moveWithCells="1">
                  <from>
                    <xdr:col>0</xdr:col>
                    <xdr:colOff>28575</xdr:colOff>
                    <xdr:row>44</xdr:row>
                    <xdr:rowOff>142875</xdr:rowOff>
                  </from>
                  <to>
                    <xdr:col>1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20" name="Check Box 326">
              <controlPr defaultSize="0" autoFill="0" autoLine="0" autoPict="0">
                <anchor moveWithCells="1">
                  <from>
                    <xdr:col>0</xdr:col>
                    <xdr:colOff>28575</xdr:colOff>
                    <xdr:row>51</xdr:row>
                    <xdr:rowOff>152400</xdr:rowOff>
                  </from>
                  <to>
                    <xdr:col>1</xdr:col>
                    <xdr:colOff>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21" name="Check Box 329">
              <controlPr defaultSize="0" autoFill="0" autoLine="0" autoPict="0">
                <anchor moveWithCells="1">
                  <from>
                    <xdr:col>2</xdr:col>
                    <xdr:colOff>28575</xdr:colOff>
                    <xdr:row>48</xdr:row>
                    <xdr:rowOff>152400</xdr:rowOff>
                  </from>
                  <to>
                    <xdr:col>3</xdr:col>
                    <xdr:colOff>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22" name="Check Box 330">
              <controlPr defaultSize="0" autoFill="0" autoLine="0" autoPict="0">
                <anchor moveWithCells="1">
                  <from>
                    <xdr:col>2</xdr:col>
                    <xdr:colOff>28575</xdr:colOff>
                    <xdr:row>49</xdr:row>
                    <xdr:rowOff>142875</xdr:rowOff>
                  </from>
                  <to>
                    <xdr:col>3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23" name="Check Box 331">
              <controlPr defaultSize="0" autoFill="0" autoLine="0" autoPict="0">
                <anchor moveWithCells="1">
                  <from>
                    <xdr:col>2</xdr:col>
                    <xdr:colOff>28575</xdr:colOff>
                    <xdr:row>50</xdr:row>
                    <xdr:rowOff>142875</xdr:rowOff>
                  </from>
                  <to>
                    <xdr:col>3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4" name="Check Box 333">
              <controlPr defaultSize="0" autoFill="0" autoLine="0" autoPict="0">
                <anchor moveWithCells="1">
                  <from>
                    <xdr:col>2</xdr:col>
                    <xdr:colOff>28575</xdr:colOff>
                    <xdr:row>51</xdr:row>
                    <xdr:rowOff>152400</xdr:rowOff>
                  </from>
                  <to>
                    <xdr:col>3</xdr:col>
                    <xdr:colOff>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5" name="Check Box 335">
              <controlPr defaultSize="0" autoFill="0" autoLine="0" autoPict="0">
                <anchor moveWithCells="1">
                  <from>
                    <xdr:col>2</xdr:col>
                    <xdr:colOff>28575</xdr:colOff>
                    <xdr:row>52</xdr:row>
                    <xdr:rowOff>142875</xdr:rowOff>
                  </from>
                  <to>
                    <xdr:col>3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6" name="Check Box 336">
              <controlPr defaultSize="0" autoFill="0" autoLine="0" autoPict="0">
                <anchor moveWithCells="1">
                  <from>
                    <xdr:col>2</xdr:col>
                    <xdr:colOff>28575</xdr:colOff>
                    <xdr:row>53</xdr:row>
                    <xdr:rowOff>142875</xdr:rowOff>
                  </from>
                  <to>
                    <xdr:col>3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7" name="Check Box 338">
              <controlPr defaultSize="0" autoFill="0" autoLine="0" autoPict="0">
                <anchor moveWithCells="1">
                  <from>
                    <xdr:col>6</xdr:col>
                    <xdr:colOff>9525</xdr:colOff>
                    <xdr:row>16</xdr:row>
                    <xdr:rowOff>142875</xdr:rowOff>
                  </from>
                  <to>
                    <xdr:col>6</xdr:col>
                    <xdr:colOff>180975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28" name="Check Box 341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142875</xdr:rowOff>
                  </from>
                  <to>
                    <xdr:col>6</xdr:col>
                    <xdr:colOff>180975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29" name="Check Box 343">
              <controlPr defaultSize="0" autoFill="0" autoLine="0" autoPict="0">
                <anchor moveWithCells="1">
                  <from>
                    <xdr:col>6</xdr:col>
                    <xdr:colOff>9525</xdr:colOff>
                    <xdr:row>18</xdr:row>
                    <xdr:rowOff>142875</xdr:rowOff>
                  </from>
                  <to>
                    <xdr:col>6</xdr:col>
                    <xdr:colOff>180975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0" name="Check Box 344">
              <controlPr defaultSize="0" autoFill="0" autoLine="0" autoPict="0">
                <anchor moveWithCells="1">
                  <from>
                    <xdr:col>6</xdr:col>
                    <xdr:colOff>9525</xdr:colOff>
                    <xdr:row>24</xdr:row>
                    <xdr:rowOff>142875</xdr:rowOff>
                  </from>
                  <to>
                    <xdr:col>6</xdr:col>
                    <xdr:colOff>180975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1" name="Check Box 345">
              <controlPr defaultSize="0" autoFill="0" autoLine="0" autoPict="0">
                <anchor moveWithCells="1">
                  <from>
                    <xdr:col>6</xdr:col>
                    <xdr:colOff>9525</xdr:colOff>
                    <xdr:row>25</xdr:row>
                    <xdr:rowOff>142875</xdr:rowOff>
                  </from>
                  <to>
                    <xdr:col>6</xdr:col>
                    <xdr:colOff>180975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2" name="Check Box 346">
              <controlPr defaultSize="0" autoFill="0" autoLine="0" autoPict="0">
                <anchor moveWithCells="1">
                  <from>
                    <xdr:col>6</xdr:col>
                    <xdr:colOff>9525</xdr:colOff>
                    <xdr:row>26</xdr:row>
                    <xdr:rowOff>142875</xdr:rowOff>
                  </from>
                  <to>
                    <xdr:col>6</xdr:col>
                    <xdr:colOff>180975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3" name="Check Box 347">
              <controlPr defaultSize="0" autoFill="0" autoLine="0" autoPict="0">
                <anchor moveWithCells="1">
                  <from>
                    <xdr:col>6</xdr:col>
                    <xdr:colOff>9525</xdr:colOff>
                    <xdr:row>28</xdr:row>
                    <xdr:rowOff>142875</xdr:rowOff>
                  </from>
                  <to>
                    <xdr:col>6</xdr:col>
                    <xdr:colOff>180975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4" name="Check Box 349">
              <controlPr defaultSize="0" autoFill="0" autoLine="0" autoPict="0">
                <anchor moveWithCells="1">
                  <from>
                    <xdr:col>6</xdr:col>
                    <xdr:colOff>9525</xdr:colOff>
                    <xdr:row>29</xdr:row>
                    <xdr:rowOff>142875</xdr:rowOff>
                  </from>
                  <to>
                    <xdr:col>6</xdr:col>
                    <xdr:colOff>180975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5" name="Check Box 351">
              <controlPr defaultSize="0" autoFill="0" autoLine="0" autoPict="0">
                <anchor moveWithCells="1">
                  <from>
                    <xdr:col>6</xdr:col>
                    <xdr:colOff>9525</xdr:colOff>
                    <xdr:row>36</xdr:row>
                    <xdr:rowOff>152400</xdr:rowOff>
                  </from>
                  <to>
                    <xdr:col>6</xdr:col>
                    <xdr:colOff>180975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6" name="Check Box 352">
              <controlPr defaultSize="0" autoFill="0" autoLine="0" autoPict="0">
                <anchor moveWithCells="1">
                  <from>
                    <xdr:col>0</xdr:col>
                    <xdr:colOff>28575</xdr:colOff>
                    <xdr:row>48</xdr:row>
                    <xdr:rowOff>152400</xdr:rowOff>
                  </from>
                  <to>
                    <xdr:col>1</xdr:col>
                    <xdr:colOff>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37" name="Check Box 462">
              <controlPr defaultSize="0" autoFill="0" autoLine="0" autoPict="0">
                <anchor moveWithCells="1">
                  <from>
                    <xdr:col>0</xdr:col>
                    <xdr:colOff>28575</xdr:colOff>
                    <xdr:row>24</xdr:row>
                    <xdr:rowOff>152400</xdr:rowOff>
                  </from>
                  <to>
                    <xdr:col>1</xdr:col>
                    <xdr:colOff>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38" name="Check Box 472">
              <controlPr defaultSize="0" autoFill="0" autoLine="0" autoPict="0">
                <anchor moveWithCells="1">
                  <from>
                    <xdr:col>0</xdr:col>
                    <xdr:colOff>19050</xdr:colOff>
                    <xdr:row>41</xdr:row>
                    <xdr:rowOff>152400</xdr:rowOff>
                  </from>
                  <to>
                    <xdr:col>0</xdr:col>
                    <xdr:colOff>190500</xdr:colOff>
                    <xdr:row>43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C42"/>
  <sheetViews>
    <sheetView topLeftCell="A35" zoomScaleNormal="100" workbookViewId="0">
      <selection activeCell="A40" sqref="A40"/>
    </sheetView>
  </sheetViews>
  <sheetFormatPr defaultRowHeight="15" x14ac:dyDescent="0.25"/>
  <cols>
    <col min="1" max="1" width="32.5" style="24" customWidth="1"/>
    <col min="2" max="2" width="29.375" style="23" customWidth="1"/>
    <col min="3" max="16384" width="9" style="22"/>
  </cols>
  <sheetData>
    <row r="1" spans="1:3" ht="50.1" customHeight="1" x14ac:dyDescent="0.25">
      <c r="A1" s="22"/>
    </row>
    <row r="2" spans="1:3" ht="50.1" customHeight="1" x14ac:dyDescent="0.25">
      <c r="A2" s="26" t="s">
        <v>27</v>
      </c>
      <c r="C2" s="25" t="e">
        <f>INDEX(Afbeeldingen!$B$3:$B$9,MATCH(#REF!,Afbeeldingen!$A$3:$A$9,0))</f>
        <v>#REF!</v>
      </c>
    </row>
    <row r="3" spans="1:3" ht="50.1" customHeight="1" x14ac:dyDescent="0.25">
      <c r="A3" s="24" t="s">
        <v>141</v>
      </c>
      <c r="C3" s="22" t="s">
        <v>141</v>
      </c>
    </row>
    <row r="4" spans="1:3" ht="50.1" customHeight="1" x14ac:dyDescent="0.25">
      <c r="A4" s="24" t="s">
        <v>142</v>
      </c>
    </row>
    <row r="5" spans="1:3" ht="50.1" customHeight="1" x14ac:dyDescent="0.25">
      <c r="A5" s="24" t="s">
        <v>143</v>
      </c>
    </row>
    <row r="6" spans="1:3" ht="50.1" customHeight="1" x14ac:dyDescent="0.25">
      <c r="A6" s="24" t="s">
        <v>144</v>
      </c>
      <c r="B6" s="28"/>
    </row>
    <row r="7" spans="1:3" ht="50.1" customHeight="1" x14ac:dyDescent="0.25">
      <c r="A7" s="24" t="s">
        <v>145</v>
      </c>
    </row>
    <row r="8" spans="1:3" ht="50.1" customHeight="1" x14ac:dyDescent="0.25">
      <c r="A8" s="24" t="s">
        <v>146</v>
      </c>
    </row>
    <row r="9" spans="1:3" ht="50.1" customHeight="1" x14ac:dyDescent="0.25">
      <c r="A9" s="24" t="s">
        <v>147</v>
      </c>
    </row>
    <row r="10" spans="1:3" ht="50.1" customHeight="1" x14ac:dyDescent="0.25">
      <c r="A10" s="24" t="s">
        <v>148</v>
      </c>
    </row>
    <row r="11" spans="1:3" ht="50.1" customHeight="1" x14ac:dyDescent="0.25">
      <c r="A11" s="24" t="s">
        <v>149</v>
      </c>
    </row>
    <row r="12" spans="1:3" ht="50.1" customHeight="1" x14ac:dyDescent="0.25">
      <c r="A12" s="24" t="s">
        <v>150</v>
      </c>
    </row>
    <row r="13" spans="1:3" ht="50.1" customHeight="1" x14ac:dyDescent="0.25">
      <c r="A13" s="24" t="s">
        <v>151</v>
      </c>
    </row>
    <row r="14" spans="1:3" ht="50.1" customHeight="1" x14ac:dyDescent="0.25">
      <c r="A14" s="24" t="s">
        <v>152</v>
      </c>
    </row>
    <row r="15" spans="1:3" ht="50.1" customHeight="1" x14ac:dyDescent="0.25">
      <c r="A15" s="24" t="s">
        <v>153</v>
      </c>
    </row>
    <row r="16" spans="1:3" ht="50.1" customHeight="1" x14ac:dyDescent="0.25">
      <c r="A16" s="24" t="s">
        <v>154</v>
      </c>
    </row>
    <row r="17" spans="1:1" ht="50.1" customHeight="1" x14ac:dyDescent="0.25">
      <c r="A17" s="24" t="s">
        <v>155</v>
      </c>
    </row>
    <row r="18" spans="1:1" ht="50.1" customHeight="1" x14ac:dyDescent="0.25">
      <c r="A18" s="24" t="s">
        <v>156</v>
      </c>
    </row>
    <row r="19" spans="1:1" ht="50.1" customHeight="1" x14ac:dyDescent="0.25">
      <c r="A19" s="24" t="s">
        <v>157</v>
      </c>
    </row>
    <row r="20" spans="1:1" ht="50.1" customHeight="1" x14ac:dyDescent="0.25">
      <c r="A20" s="24" t="s">
        <v>158</v>
      </c>
    </row>
    <row r="21" spans="1:1" ht="50.1" customHeight="1" x14ac:dyDescent="0.25">
      <c r="A21" s="24" t="s">
        <v>159</v>
      </c>
    </row>
    <row r="22" spans="1:1" ht="50.1" customHeight="1" x14ac:dyDescent="0.25">
      <c r="A22" s="24" t="s">
        <v>160</v>
      </c>
    </row>
    <row r="23" spans="1:1" ht="50.1" customHeight="1" x14ac:dyDescent="0.25">
      <c r="A23" s="35" t="s">
        <v>168</v>
      </c>
    </row>
    <row r="24" spans="1:1" ht="50.1" customHeight="1" x14ac:dyDescent="0.25">
      <c r="A24" s="35" t="s">
        <v>169</v>
      </c>
    </row>
    <row r="25" spans="1:1" ht="50.1" customHeight="1" x14ac:dyDescent="0.25">
      <c r="A25" s="35" t="s">
        <v>170</v>
      </c>
    </row>
    <row r="26" spans="1:1" ht="50.1" customHeight="1" x14ac:dyDescent="0.25">
      <c r="A26" s="35" t="s">
        <v>171</v>
      </c>
    </row>
    <row r="27" spans="1:1" ht="50.1" customHeight="1" x14ac:dyDescent="0.25">
      <c r="A27" s="35" t="s">
        <v>172</v>
      </c>
    </row>
    <row r="28" spans="1:1" ht="50.1" customHeight="1" x14ac:dyDescent="0.25">
      <c r="A28" s="35" t="s">
        <v>173</v>
      </c>
    </row>
    <row r="29" spans="1:1" ht="50.1" customHeight="1" x14ac:dyDescent="0.25">
      <c r="A29" s="35" t="s">
        <v>174</v>
      </c>
    </row>
    <row r="30" spans="1:1" ht="50.1" customHeight="1" x14ac:dyDescent="0.25">
      <c r="A30" s="35" t="s">
        <v>175</v>
      </c>
    </row>
    <row r="31" spans="1:1" ht="50.1" customHeight="1" x14ac:dyDescent="0.25">
      <c r="A31" s="35" t="s">
        <v>176</v>
      </c>
    </row>
    <row r="32" spans="1:1" ht="50.1" customHeight="1" x14ac:dyDescent="0.25">
      <c r="A32" s="35" t="s">
        <v>177</v>
      </c>
    </row>
    <row r="33" spans="1:1" ht="50.1" customHeight="1" x14ac:dyDescent="0.25">
      <c r="A33" s="35" t="s">
        <v>178</v>
      </c>
    </row>
    <row r="34" spans="1:1" ht="50.1" customHeight="1" x14ac:dyDescent="0.25">
      <c r="A34" s="35" t="s">
        <v>179</v>
      </c>
    </row>
    <row r="35" spans="1:1" ht="50.1" customHeight="1" x14ac:dyDescent="0.25">
      <c r="A35" s="35" t="s">
        <v>180</v>
      </c>
    </row>
    <row r="36" spans="1:1" ht="50.1" customHeight="1" x14ac:dyDescent="0.25">
      <c r="A36" s="35" t="s">
        <v>181</v>
      </c>
    </row>
    <row r="37" spans="1:1" ht="50.1" customHeight="1" x14ac:dyDescent="0.25">
      <c r="A37" s="35" t="s">
        <v>182</v>
      </c>
    </row>
    <row r="38" spans="1:1" ht="50.1" customHeight="1" x14ac:dyDescent="0.25">
      <c r="A38" s="35" t="s">
        <v>183</v>
      </c>
    </row>
    <row r="39" spans="1:1" ht="50.1" customHeight="1" x14ac:dyDescent="0.25">
      <c r="A39" s="59" t="s">
        <v>106</v>
      </c>
    </row>
    <row r="40" spans="1:1" ht="50.1" customHeight="1" x14ac:dyDescent="0.25"/>
    <row r="41" spans="1:1" ht="50.1" customHeight="1" x14ac:dyDescent="0.25"/>
    <row r="42" spans="1:1" ht="50.1" customHeight="1" x14ac:dyDescent="0.25"/>
  </sheetData>
  <dataValidations count="1">
    <dataValidation type="list" allowBlank="1" showInputMessage="1" showErrorMessage="1" sqref="C3">
      <formula1>$A$3:$A$23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4"/>
  <dimension ref="B2:H14"/>
  <sheetViews>
    <sheetView zoomScaleNormal="100" workbookViewId="0"/>
  </sheetViews>
  <sheetFormatPr defaultRowHeight="12.75" x14ac:dyDescent="0.2"/>
  <cols>
    <col min="1" max="1" width="2.375" style="36" customWidth="1"/>
    <col min="2" max="2" width="18.375" style="36" customWidth="1"/>
    <col min="3" max="3" width="16.625" style="36" customWidth="1"/>
    <col min="4" max="4" width="9" style="36"/>
    <col min="5" max="5" width="16.125" style="36" customWidth="1"/>
    <col min="6" max="6" width="16.625" style="36" customWidth="1"/>
    <col min="7" max="7" width="9" style="36"/>
    <col min="8" max="8" width="19.125" style="36" customWidth="1"/>
    <col min="9" max="16384" width="9" style="36"/>
  </cols>
  <sheetData>
    <row r="2" spans="2:8" x14ac:dyDescent="0.2">
      <c r="B2" s="39" t="s">
        <v>163</v>
      </c>
      <c r="C2" s="39" t="s">
        <v>164</v>
      </c>
      <c r="D2" s="38"/>
      <c r="E2" s="39" t="s">
        <v>165</v>
      </c>
      <c r="F2" s="39" t="s">
        <v>163</v>
      </c>
      <c r="G2" s="39" t="s">
        <v>164</v>
      </c>
      <c r="H2" s="38"/>
    </row>
    <row r="3" spans="2:8" ht="54" customHeight="1" x14ac:dyDescent="0.2">
      <c r="B3" s="37" t="s">
        <v>166</v>
      </c>
      <c r="C3" s="38"/>
      <c r="E3" s="37" t="str">
        <f>IF(B6=1,"rud limburg noord",IF(B6=2,"rud limburg zuid","fout"))</f>
        <v>rud limburg zuid</v>
      </c>
      <c r="F3" s="37" t="str">
        <f>E3</f>
        <v>rud limburg zuid</v>
      </c>
    </row>
    <row r="4" spans="2:8" ht="46.5" customHeight="1" x14ac:dyDescent="0.2">
      <c r="B4" s="37" t="s">
        <v>167</v>
      </c>
    </row>
    <row r="6" spans="2:8" x14ac:dyDescent="0.2">
      <c r="B6" s="36">
        <f>IF(OR(B10=1,B11=1,B12=1,B13=1,B14=1),1,IF(OR(B10=2,B11=2,B12=2,B13=2,B14=2),2,0))</f>
        <v>2</v>
      </c>
    </row>
    <row r="10" spans="2:8" x14ac:dyDescent="0.2">
      <c r="B10" s="36">
        <f>IF(OR(Sbmf!D7="Mook en Middelaar",Sbmf!D7="Gennep",Sbmf!D7="Bergen",Sbmf!D7="Venray",Sbmf!D7="Horst aan de Maas",Sbmf!D7="Venlo",Sbmf!D7="Peel en Maas",Sbmf!D7="Nederweert"),1,0)</f>
        <v>0</v>
      </c>
    </row>
    <row r="11" spans="2:8" x14ac:dyDescent="0.2">
      <c r="B11" s="36">
        <f>IF(OR(Sbmf!D7="Beesel",Sbmf!D7="Leudal",Sbmf!D7="Weert",Sbmf!D7="Roermond",Sbmf!D7="Maasgouw",Sbmf!D7="Roerdalen",Sbmf!D7="Echt-Susteren",Sbmf!D7="Servicecentrum MER"),1,0)</f>
        <v>0</v>
      </c>
    </row>
    <row r="12" spans="2:8" x14ac:dyDescent="0.2">
      <c r="B12" s="36">
        <f>IF(OR(Sbmf!D7="Beek",Sbmf!D7="Brunssum",Sbmf!D7="Eijsden-Margraten",Sbmf!D7="Gulpen-Wittem",Sbmf!D7="Heerlen",Sbmf!D7="Kerkrade",Sbmf!D7="Landgraaf",Sbmf!D7="Maastricht"),2,0)</f>
        <v>0</v>
      </c>
    </row>
    <row r="13" spans="2:8" x14ac:dyDescent="0.2">
      <c r="B13" s="36">
        <f>IF(OR(Sbmf!D7="Meerssen",Sbmf!D7="Nuth",Sbmf!D7="Onderbanken",Sbmf!D7="Provincie Limburg",Sbmf!D7="Schinnen",Sbmf!D7="Simpelveld",Sbmf!D7="Sittard-Geleen",Sbmf!D7="Stein"),2,0)</f>
        <v>0</v>
      </c>
    </row>
    <row r="14" spans="2:8" x14ac:dyDescent="0.2">
      <c r="B14" s="36">
        <f>IF(OR(Sbmf!D7="Vaals",Sbmf!D7="Valkenburg a/d Geul",Sbmf!D7="Voerendaal",Sbmf!D7="IMD-BNS",Sbmf!D7="vervolgkeuze ↓"),2,0)</f>
        <v>2</v>
      </c>
    </row>
  </sheetData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"/>
  <sheetViews>
    <sheetView workbookViewId="0">
      <selection activeCell="A4" sqref="A4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3</vt:i4>
      </vt:variant>
    </vt:vector>
  </HeadingPairs>
  <TitlesOfParts>
    <vt:vector size="8" baseType="lpstr">
      <vt:lpstr>Start</vt:lpstr>
      <vt:lpstr>Sbmf</vt:lpstr>
      <vt:lpstr>Afbeeldingen</vt:lpstr>
      <vt:lpstr>RUD N of Z</vt:lpstr>
      <vt:lpstr>Blad1</vt:lpstr>
      <vt:lpstr>Sbmf!_GoBack</vt:lpstr>
      <vt:lpstr>Sbmf!Afdrukbereik</vt:lpstr>
      <vt:lpstr>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Martens</dc:creator>
  <cp:lastModifiedBy>Martens, Laurens</cp:lastModifiedBy>
  <cp:lastPrinted>2015-09-23T07:21:48Z</cp:lastPrinted>
  <dcterms:created xsi:type="dcterms:W3CDTF">2014-06-22T17:00:16Z</dcterms:created>
  <dcterms:modified xsi:type="dcterms:W3CDTF">2018-10-04T08:48:19Z</dcterms:modified>
</cp:coreProperties>
</file>